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2" windowWidth="17496" windowHeight="11016"/>
  </bookViews>
  <sheets>
    <sheet name="KeyInputs&amp;Result" sheetId="17" r:id="rId1"/>
    <sheet name="Weight_%Purch" sheetId="12" r:id="rId2"/>
    <sheet name="LevelizedAvoidedCost" sheetId="2" r:id="rId3"/>
    <sheet name="LTForecast" sheetId="16" r:id="rId4"/>
    <sheet name="MonthlyWorksheet" sheetId="15" r:id="rId5"/>
    <sheet name="Carbon Price" sheetId="14" r:id="rId6"/>
    <sheet name="GasPrice" sheetId="13" r:id="rId7"/>
    <sheet name="Sheet1" sheetId="18" r:id="rId8"/>
  </sheets>
  <externalReferences>
    <externalReference r:id="rId9"/>
  </externalReferences>
  <definedNames>
    <definedName name="Carbon">#REF!</definedName>
    <definedName name="CarbonPrice">'Carbon Price'!$A$13:$K$35</definedName>
    <definedName name="CarbPrice">[1]CO2Tax!$A$8:$D$32</definedName>
    <definedName name="IHR">#REF!</definedName>
    <definedName name="NWE">#REF!</definedName>
  </definedNames>
  <calcPr calcId="144525"/>
</workbook>
</file>

<file path=xl/calcChain.xml><?xml version="1.0" encoding="utf-8"?>
<calcChain xmlns="http://schemas.openxmlformats.org/spreadsheetml/2006/main">
  <c r="V36" i="17" l="1"/>
  <c r="U36" i="17"/>
  <c r="N36" i="17"/>
  <c r="O36" i="17"/>
  <c r="P36" i="17"/>
  <c r="Q36" i="17"/>
  <c r="R36" i="17"/>
  <c r="S36" i="17"/>
  <c r="T36" i="17"/>
  <c r="M36" i="17"/>
  <c r="R26" i="17" s="1"/>
  <c r="T48" i="17"/>
  <c r="P42" i="17"/>
  <c r="P44" i="17"/>
  <c r="P46" i="17" s="1"/>
  <c r="P47" i="17" s="1"/>
  <c r="I27" i="2"/>
  <c r="H30" i="2"/>
  <c r="I4" i="16"/>
  <c r="I3" i="16"/>
  <c r="M2" i="14"/>
  <c r="D31" i="14" s="1"/>
  <c r="H218" i="16" s="1"/>
  <c r="B4" i="13"/>
  <c r="B5" i="13"/>
  <c r="B6" i="13"/>
  <c r="E29" i="13" s="1"/>
  <c r="G51" i="15" s="1"/>
  <c r="B7" i="13"/>
  <c r="B8" i="13"/>
  <c r="C64" i="2" s="1"/>
  <c r="K41" i="2" s="1"/>
  <c r="B9" i="13"/>
  <c r="B10" i="13"/>
  <c r="E77" i="13" s="1"/>
  <c r="G99" i="15" s="1"/>
  <c r="B11" i="13"/>
  <c r="B12" i="13"/>
  <c r="B13" i="13"/>
  <c r="B14" i="13"/>
  <c r="B15" i="13"/>
  <c r="B16" i="13"/>
  <c r="B17" i="13"/>
  <c r="C73" i="2" s="1"/>
  <c r="K50" i="2" s="1"/>
  <c r="B18" i="13"/>
  <c r="B19" i="13"/>
  <c r="B20" i="13"/>
  <c r="B21" i="13"/>
  <c r="C77" i="2"/>
  <c r="K54" i="2" s="1"/>
  <c r="B22" i="13"/>
  <c r="B23" i="13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B38" i="2"/>
  <c r="F8" i="12" s="1"/>
  <c r="B39" i="2"/>
  <c r="F9" i="12" s="1"/>
  <c r="B40" i="2"/>
  <c r="F10" i="12" s="1"/>
  <c r="B41" i="2"/>
  <c r="F11" i="12" s="1"/>
  <c r="B42" i="2"/>
  <c r="C42" i="2" s="1"/>
  <c r="G12" i="12" s="1"/>
  <c r="B43" i="2"/>
  <c r="C43" i="2"/>
  <c r="G13" i="12" s="1"/>
  <c r="B44" i="2"/>
  <c r="F14" i="12" s="1"/>
  <c r="B45" i="2"/>
  <c r="F15" i="12" s="1"/>
  <c r="B46" i="2"/>
  <c r="F16" i="12" s="1"/>
  <c r="B47" i="2"/>
  <c r="C47" i="2" s="1"/>
  <c r="G17" i="12" s="1"/>
  <c r="B48" i="2"/>
  <c r="F18" i="12"/>
  <c r="B49" i="2"/>
  <c r="C49" i="2"/>
  <c r="G19" i="12" s="1"/>
  <c r="B50" i="2"/>
  <c r="F20" i="12" s="1"/>
  <c r="B51" i="2"/>
  <c r="F21" i="12" s="1"/>
  <c r="B52" i="2"/>
  <c r="C52" i="2" s="1"/>
  <c r="G22" i="12" s="1"/>
  <c r="B53" i="2"/>
  <c r="C53" i="2"/>
  <c r="G23" i="12" s="1"/>
  <c r="B54" i="2"/>
  <c r="F24" i="12" s="1"/>
  <c r="B55" i="2"/>
  <c r="C55" i="2" s="1"/>
  <c r="G25" i="12" s="1"/>
  <c r="B56" i="2"/>
  <c r="C56" i="2"/>
  <c r="G26" i="12" s="1"/>
  <c r="B37" i="2"/>
  <c r="F7" i="12" s="1"/>
  <c r="G16" i="13"/>
  <c r="H4" i="13" s="1"/>
  <c r="H5" i="13"/>
  <c r="E41" i="13" s="1"/>
  <c r="G63" i="15" s="1"/>
  <c r="H7" i="13"/>
  <c r="E91" i="13" s="1"/>
  <c r="G113" i="15" s="1"/>
  <c r="H9" i="13"/>
  <c r="E69" i="13" s="1"/>
  <c r="G91" i="15" s="1"/>
  <c r="H11" i="13"/>
  <c r="H13" i="13"/>
  <c r="H15" i="13"/>
  <c r="H26" i="16"/>
  <c r="G26" i="16"/>
  <c r="F26" i="16"/>
  <c r="E26" i="16"/>
  <c r="D26" i="16"/>
  <c r="H25" i="16"/>
  <c r="G25" i="16"/>
  <c r="F25" i="16"/>
  <c r="E25" i="16"/>
  <c r="D25" i="16"/>
  <c r="H24" i="16"/>
  <c r="G24" i="16"/>
  <c r="F24" i="16"/>
  <c r="E24" i="16"/>
  <c r="D24" i="16"/>
  <c r="H23" i="16"/>
  <c r="G23" i="16"/>
  <c r="F23" i="16"/>
  <c r="E23" i="16"/>
  <c r="D23" i="16"/>
  <c r="H22" i="16"/>
  <c r="G22" i="16"/>
  <c r="F22" i="16"/>
  <c r="E22" i="16"/>
  <c r="D22" i="16"/>
  <c r="H21" i="16"/>
  <c r="G21" i="16"/>
  <c r="F21" i="16"/>
  <c r="E21" i="16"/>
  <c r="D21" i="16"/>
  <c r="H20" i="16"/>
  <c r="G20" i="16"/>
  <c r="F20" i="16"/>
  <c r="E20" i="16"/>
  <c r="D20" i="16"/>
  <c r="H19" i="16"/>
  <c r="G19" i="16"/>
  <c r="F19" i="16"/>
  <c r="E19" i="16"/>
  <c r="D19" i="16"/>
  <c r="H18" i="16"/>
  <c r="G18" i="16"/>
  <c r="F18" i="16"/>
  <c r="E18" i="16"/>
  <c r="D18" i="16"/>
  <c r="H17" i="16"/>
  <c r="G17" i="16"/>
  <c r="F17" i="16"/>
  <c r="E17" i="16"/>
  <c r="D17" i="16"/>
  <c r="H16" i="16"/>
  <c r="G16" i="16"/>
  <c r="F16" i="16"/>
  <c r="E16" i="16"/>
  <c r="D16" i="16"/>
  <c r="H15" i="16"/>
  <c r="G15" i="16"/>
  <c r="F15" i="16"/>
  <c r="E15" i="16"/>
  <c r="D15" i="16"/>
  <c r="H14" i="16"/>
  <c r="G14" i="16"/>
  <c r="F14" i="16"/>
  <c r="E14" i="16"/>
  <c r="D14" i="16"/>
  <c r="H13" i="16"/>
  <c r="G13" i="16"/>
  <c r="F13" i="16"/>
  <c r="E13" i="16"/>
  <c r="D13" i="16"/>
  <c r="A11" i="16"/>
  <c r="H10" i="16"/>
  <c r="G10" i="16"/>
  <c r="F10" i="16"/>
  <c r="E10" i="16"/>
  <c r="H9" i="16"/>
  <c r="G9" i="16"/>
  <c r="F9" i="16"/>
  <c r="E9" i="16"/>
  <c r="D9" i="16"/>
  <c r="O8" i="14"/>
  <c r="E6" i="15"/>
  <c r="G25" i="15"/>
  <c r="R25" i="15" s="1"/>
  <c r="M25" i="15"/>
  <c r="G24" i="15"/>
  <c r="R24" i="15"/>
  <c r="M24" i="15"/>
  <c r="G23" i="15"/>
  <c r="R23" i="15" s="1"/>
  <c r="M23" i="15"/>
  <c r="G22" i="15"/>
  <c r="R22" i="15"/>
  <c r="M22" i="15"/>
  <c r="G21" i="15"/>
  <c r="R21" i="15" s="1"/>
  <c r="M21" i="15"/>
  <c r="G20" i="15"/>
  <c r="R20" i="15"/>
  <c r="M20" i="15"/>
  <c r="G19" i="15"/>
  <c r="R19" i="15" s="1"/>
  <c r="M19" i="15"/>
  <c r="G18" i="15"/>
  <c r="R18" i="15"/>
  <c r="M18" i="15"/>
  <c r="G17" i="15"/>
  <c r="R17" i="15" s="1"/>
  <c r="M17" i="15"/>
  <c r="G16" i="15"/>
  <c r="R16" i="15"/>
  <c r="M16" i="15"/>
  <c r="G15" i="15"/>
  <c r="R15" i="15" s="1"/>
  <c r="M15" i="15"/>
  <c r="G14" i="15"/>
  <c r="R14" i="15"/>
  <c r="M14" i="15"/>
  <c r="AX9" i="15"/>
  <c r="AX10" i="15"/>
  <c r="AX11" i="15"/>
  <c r="AX12" i="15"/>
  <c r="AX13" i="15"/>
  <c r="AX14" i="15"/>
  <c r="AX15" i="15"/>
  <c r="AX16" i="15"/>
  <c r="AX17" i="15"/>
  <c r="AX18" i="15"/>
  <c r="AX19" i="15"/>
  <c r="AX20" i="15"/>
  <c r="AX22" i="15"/>
  <c r="AW9" i="15"/>
  <c r="AW10" i="15"/>
  <c r="AW22" i="15" s="1"/>
  <c r="AW11" i="15"/>
  <c r="AW12" i="15"/>
  <c r="AW13" i="15"/>
  <c r="AW14" i="15"/>
  <c r="AW15" i="15"/>
  <c r="AW16" i="15"/>
  <c r="AW17" i="15"/>
  <c r="AW18" i="15"/>
  <c r="AW19" i="15"/>
  <c r="AW20" i="15"/>
  <c r="AV9" i="15"/>
  <c r="AV10" i="15"/>
  <c r="AV22" i="15" s="1"/>
  <c r="AV11" i="15"/>
  <c r="AV12" i="15"/>
  <c r="AV13" i="15"/>
  <c r="AV14" i="15"/>
  <c r="AV15" i="15"/>
  <c r="AV16" i="15"/>
  <c r="AV17" i="15"/>
  <c r="AV18" i="15"/>
  <c r="AV19" i="15"/>
  <c r="AV20" i="15"/>
  <c r="AU10" i="15"/>
  <c r="AU11" i="15"/>
  <c r="AY11" i="15" s="1"/>
  <c r="AU12" i="15"/>
  <c r="AU13" i="15"/>
  <c r="AY13" i="15" s="1"/>
  <c r="AU14" i="15"/>
  <c r="AU15" i="15"/>
  <c r="AY15" i="15" s="1"/>
  <c r="AU16" i="15"/>
  <c r="AU17" i="15"/>
  <c r="AY17" i="15" s="1"/>
  <c r="AU18" i="15"/>
  <c r="AU19" i="15"/>
  <c r="AY19" i="15" s="1"/>
  <c r="AZ19" i="15" s="1"/>
  <c r="AU20" i="15"/>
  <c r="AU22" i="15"/>
  <c r="AP9" i="15"/>
  <c r="AP10" i="15"/>
  <c r="AP11" i="15"/>
  <c r="AP12" i="15"/>
  <c r="AP13" i="15"/>
  <c r="AP14" i="15"/>
  <c r="AP15" i="15"/>
  <c r="AP16" i="15"/>
  <c r="AP17" i="15"/>
  <c r="AP18" i="15"/>
  <c r="AP19" i="15"/>
  <c r="AP20" i="15"/>
  <c r="AP22" i="15"/>
  <c r="AO9" i="15"/>
  <c r="AO10" i="15"/>
  <c r="AO22" i="15" s="1"/>
  <c r="AO11" i="15"/>
  <c r="AO12" i="15"/>
  <c r="AO13" i="15"/>
  <c r="AO14" i="15"/>
  <c r="AO15" i="15"/>
  <c r="AO16" i="15"/>
  <c r="AO17" i="15"/>
  <c r="AO18" i="15"/>
  <c r="AO19" i="15"/>
  <c r="AO20" i="15"/>
  <c r="AN9" i="15"/>
  <c r="AN10" i="15"/>
  <c r="AN22" i="15" s="1"/>
  <c r="AN11" i="15"/>
  <c r="AN12" i="15"/>
  <c r="AN13" i="15"/>
  <c r="AN14" i="15"/>
  <c r="AN15" i="15"/>
  <c r="AN16" i="15"/>
  <c r="AN17" i="15"/>
  <c r="AN18" i="15"/>
  <c r="AN19" i="15"/>
  <c r="AN20" i="15"/>
  <c r="AM9" i="15"/>
  <c r="AM10" i="15"/>
  <c r="AM22" i="15" s="1"/>
  <c r="AQ22" i="15" s="1"/>
  <c r="AM11" i="15"/>
  <c r="AM12" i="15"/>
  <c r="AQ12" i="15" s="1"/>
  <c r="AM13" i="15"/>
  <c r="AM14" i="15"/>
  <c r="AQ14" i="15" s="1"/>
  <c r="AM15" i="15"/>
  <c r="AM16" i="15"/>
  <c r="AQ16" i="15" s="1"/>
  <c r="AM17" i="15"/>
  <c r="AM18" i="15"/>
  <c r="AQ18" i="15" s="1"/>
  <c r="AM19" i="15"/>
  <c r="AM20" i="15"/>
  <c r="AQ20" i="15" s="1"/>
  <c r="AY9" i="15"/>
  <c r="AY10" i="15"/>
  <c r="AY12" i="15"/>
  <c r="AZ12" i="15" s="1"/>
  <c r="AY14" i="15"/>
  <c r="AY16" i="15"/>
  <c r="AZ16" i="15" s="1"/>
  <c r="AY18" i="15"/>
  <c r="AZ18" i="15" s="1"/>
  <c r="AY20" i="15"/>
  <c r="AZ20" i="15" s="1"/>
  <c r="AQ9" i="15"/>
  <c r="AQ11" i="15"/>
  <c r="AQ13" i="15"/>
  <c r="AQ15" i="15"/>
  <c r="AQ17" i="15"/>
  <c r="AQ19" i="15"/>
  <c r="AL20" i="15"/>
  <c r="AT20" i="15" s="1"/>
  <c r="AL19" i="15"/>
  <c r="AT19" i="15" s="1"/>
  <c r="AL18" i="15"/>
  <c r="AT18" i="15" s="1"/>
  <c r="AL17" i="15"/>
  <c r="AT17" i="15" s="1"/>
  <c r="AL16" i="15"/>
  <c r="AT16" i="15" s="1"/>
  <c r="AL15" i="15"/>
  <c r="AT15" i="15" s="1"/>
  <c r="AL14" i="15"/>
  <c r="AT14" i="15" s="1"/>
  <c r="AL13" i="15"/>
  <c r="AT13" i="15" s="1"/>
  <c r="AL12" i="15"/>
  <c r="AT12" i="15" s="1"/>
  <c r="AL11" i="15"/>
  <c r="AT11" i="15" s="1"/>
  <c r="AL10" i="15"/>
  <c r="AT10" i="15" s="1"/>
  <c r="AL9" i="15"/>
  <c r="AT9" i="15"/>
  <c r="E5" i="15"/>
  <c r="D15" i="14"/>
  <c r="D14" i="14"/>
  <c r="D12" i="14"/>
  <c r="D11" i="14"/>
  <c r="D10" i="14"/>
  <c r="D9" i="14"/>
  <c r="D8" i="14"/>
  <c r="G38" i="2"/>
  <c r="D34" i="2"/>
  <c r="D35" i="2"/>
  <c r="D36" i="2"/>
  <c r="G39" i="2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C28" i="2"/>
  <c r="C29" i="2"/>
  <c r="D28" i="2"/>
  <c r="D29" i="2"/>
  <c r="E7" i="13"/>
  <c r="G29" i="15"/>
  <c r="E13" i="13"/>
  <c r="G35" i="15"/>
  <c r="E9" i="13"/>
  <c r="G31" i="15"/>
  <c r="E15" i="13"/>
  <c r="G37" i="15"/>
  <c r="S37" i="15" s="1"/>
  <c r="F38" i="16" s="1"/>
  <c r="E5" i="13"/>
  <c r="G27" i="15"/>
  <c r="C41" i="2"/>
  <c r="G11" i="12"/>
  <c r="E155" i="13"/>
  <c r="G177" i="15"/>
  <c r="E87" i="13"/>
  <c r="G109" i="15"/>
  <c r="E153" i="13"/>
  <c r="G175" i="15"/>
  <c r="E149" i="13"/>
  <c r="G171" i="15"/>
  <c r="E151" i="13"/>
  <c r="G173" i="15"/>
  <c r="E35" i="13"/>
  <c r="G57" i="15"/>
  <c r="S57" i="15" s="1"/>
  <c r="F58" i="16" s="1"/>
  <c r="C37" i="2"/>
  <c r="G7" i="12"/>
  <c r="E199" i="13"/>
  <c r="G221" i="15"/>
  <c r="E121" i="13"/>
  <c r="G143" i="15"/>
  <c r="E51" i="13"/>
  <c r="G73" i="15"/>
  <c r="E40" i="13"/>
  <c r="G62" i="15"/>
  <c r="C40" i="2"/>
  <c r="G10" i="12"/>
  <c r="E235" i="13"/>
  <c r="G257" i="15"/>
  <c r="C48" i="2"/>
  <c r="G18" i="12" s="1"/>
  <c r="C45" i="2"/>
  <c r="G15" i="12" s="1"/>
  <c r="E221" i="13"/>
  <c r="G243" i="15" s="1"/>
  <c r="E109" i="13"/>
  <c r="G131" i="15" s="1"/>
  <c r="E93" i="13"/>
  <c r="G115" i="15" s="1"/>
  <c r="E97" i="13"/>
  <c r="G119" i="15" s="1"/>
  <c r="E57" i="13"/>
  <c r="G79" i="15" s="1"/>
  <c r="E53" i="13"/>
  <c r="G75" i="15" s="1"/>
  <c r="E49" i="13"/>
  <c r="G71" i="15" s="1"/>
  <c r="E45" i="13"/>
  <c r="G67" i="15" s="1"/>
  <c r="F17" i="12"/>
  <c r="F22" i="12"/>
  <c r="E101" i="13"/>
  <c r="G123" i="15" s="1"/>
  <c r="D124" i="16" s="1"/>
  <c r="E209" i="13"/>
  <c r="G231" i="15" s="1"/>
  <c r="E64" i="13"/>
  <c r="G86" i="15" s="1"/>
  <c r="E63" i="13"/>
  <c r="G85" i="15" s="1"/>
  <c r="E197" i="13"/>
  <c r="G219" i="15" s="1"/>
  <c r="E205" i="13"/>
  <c r="G227" i="15" s="1"/>
  <c r="E159" i="13"/>
  <c r="G181" i="15" s="1"/>
  <c r="E59" i="13"/>
  <c r="G81" i="15" s="1"/>
  <c r="E11" i="13"/>
  <c r="G33" i="15"/>
  <c r="D34" i="16" s="1"/>
  <c r="E61" i="13"/>
  <c r="G83" i="15" s="1"/>
  <c r="E105" i="13"/>
  <c r="G127" i="15" s="1"/>
  <c r="E163" i="13"/>
  <c r="G185" i="15" s="1"/>
  <c r="E55" i="13"/>
  <c r="G77" i="15" s="1"/>
  <c r="E148" i="13"/>
  <c r="G170" i="15" s="1"/>
  <c r="E203" i="13"/>
  <c r="G225" i="15" s="1"/>
  <c r="E157" i="13"/>
  <c r="G179" i="15" s="1"/>
  <c r="E89" i="13"/>
  <c r="G111" i="15"/>
  <c r="E233" i="13"/>
  <c r="G255" i="15"/>
  <c r="E99" i="13"/>
  <c r="G121" i="15"/>
  <c r="E215" i="13"/>
  <c r="G237" i="15"/>
  <c r="E136" i="13"/>
  <c r="G158" i="15"/>
  <c r="E47" i="13"/>
  <c r="G69" i="15"/>
  <c r="O69" i="15" s="1"/>
  <c r="E70" i="16" s="1"/>
  <c r="E189" i="13"/>
  <c r="G211" i="15"/>
  <c r="C44" i="2"/>
  <c r="G14" i="12"/>
  <c r="E137" i="13"/>
  <c r="G159" i="15"/>
  <c r="E239" i="13"/>
  <c r="G261" i="15"/>
  <c r="E95" i="13"/>
  <c r="G117" i="15"/>
  <c r="S117" i="15" s="1"/>
  <c r="F118" i="16" s="1"/>
  <c r="E143" i="13"/>
  <c r="G165" i="15" s="1"/>
  <c r="E185" i="13"/>
  <c r="G207" i="15" s="1"/>
  <c r="E141" i="13"/>
  <c r="G163" i="15" s="1"/>
  <c r="E241" i="13"/>
  <c r="G263" i="15" s="1"/>
  <c r="E43" i="13"/>
  <c r="G65" i="15" s="1"/>
  <c r="E191" i="13"/>
  <c r="G213" i="15" s="1"/>
  <c r="E147" i="13"/>
  <c r="G169" i="15" s="1"/>
  <c r="D170" i="16" s="1"/>
  <c r="E145" i="13"/>
  <c r="G167" i="15"/>
  <c r="E193" i="13"/>
  <c r="G215" i="15"/>
  <c r="D16" i="14"/>
  <c r="H32" i="16" s="1"/>
  <c r="E167" i="13"/>
  <c r="G189" i="15" s="1"/>
  <c r="E113" i="13"/>
  <c r="G135" i="15" s="1"/>
  <c r="E195" i="13"/>
  <c r="G217" i="15"/>
  <c r="E187" i="13"/>
  <c r="G209" i="15"/>
  <c r="D35" i="14"/>
  <c r="B79" i="2"/>
  <c r="H56" i="2" s="1"/>
  <c r="I56" i="2" s="1"/>
  <c r="E26" i="12" s="1"/>
  <c r="D29" i="14"/>
  <c r="H194" i="16" s="1"/>
  <c r="D27" i="14"/>
  <c r="D21" i="14"/>
  <c r="B65" i="2"/>
  <c r="H42" i="2" s="1"/>
  <c r="I42" i="2" s="1"/>
  <c r="E12" i="12" s="1"/>
  <c r="D19" i="14"/>
  <c r="B63" i="2" s="1"/>
  <c r="L40" i="2" s="1"/>
  <c r="M40" i="2" s="1"/>
  <c r="D34" i="14"/>
  <c r="B78" i="2" s="1"/>
  <c r="D28" i="14"/>
  <c r="B72" i="2" s="1"/>
  <c r="D26" i="14"/>
  <c r="H147" i="16" s="1"/>
  <c r="D20" i="14"/>
  <c r="B64" i="2" s="1"/>
  <c r="D18" i="14"/>
  <c r="B62" i="2" s="1"/>
  <c r="E52" i="13"/>
  <c r="G74" i="15"/>
  <c r="O74" i="15" s="1"/>
  <c r="E75" i="16" s="1"/>
  <c r="C60" i="2"/>
  <c r="K37" i="2"/>
  <c r="C72" i="2"/>
  <c r="K49" i="2"/>
  <c r="C76" i="2"/>
  <c r="K53" i="2"/>
  <c r="C50" i="2"/>
  <c r="G20" i="12"/>
  <c r="C68" i="2"/>
  <c r="K45" i="2"/>
  <c r="C65" i="2"/>
  <c r="K42" i="2"/>
  <c r="C74" i="2"/>
  <c r="K51" i="2" s="1"/>
  <c r="E17" i="13"/>
  <c r="G39" i="15" s="1"/>
  <c r="E27" i="13"/>
  <c r="G49" i="15" s="1"/>
  <c r="E139" i="13"/>
  <c r="G161" i="15" s="1"/>
  <c r="D162" i="16" s="1"/>
  <c r="C75" i="2"/>
  <c r="K52" i="2"/>
  <c r="C71" i="2"/>
  <c r="K48" i="2"/>
  <c r="C67" i="2"/>
  <c r="K44" i="2"/>
  <c r="C63" i="2"/>
  <c r="K40" i="2"/>
  <c r="F23" i="12"/>
  <c r="F19" i="12"/>
  <c r="F26" i="12"/>
  <c r="E19" i="13"/>
  <c r="G41" i="15" s="1"/>
  <c r="C69" i="2"/>
  <c r="K46" i="2" s="1"/>
  <c r="E115" i="13"/>
  <c r="G137" i="15"/>
  <c r="E75" i="13"/>
  <c r="G97" i="15"/>
  <c r="E71" i="13"/>
  <c r="G93" i="15"/>
  <c r="C46" i="2"/>
  <c r="G16" i="12" s="1"/>
  <c r="E23" i="13"/>
  <c r="G45" i="15" s="1"/>
  <c r="E21" i="13"/>
  <c r="G43" i="15" s="1"/>
  <c r="C61" i="2"/>
  <c r="K38" i="2" s="1"/>
  <c r="C54" i="2"/>
  <c r="G24" i="12" s="1"/>
  <c r="E208" i="13"/>
  <c r="G230" i="15" s="1"/>
  <c r="S230" i="15" s="1"/>
  <c r="F231" i="16" s="1"/>
  <c r="F12" i="12"/>
  <c r="E165" i="13"/>
  <c r="G187" i="15" s="1"/>
  <c r="E160" i="13"/>
  <c r="G182" i="15" s="1"/>
  <c r="E123" i="13"/>
  <c r="G145" i="15" s="1"/>
  <c r="E211" i="13"/>
  <c r="G233" i="15" s="1"/>
  <c r="C38" i="2"/>
  <c r="G8" i="12" s="1"/>
  <c r="E25" i="13"/>
  <c r="G47" i="15" s="1"/>
  <c r="E171" i="13"/>
  <c r="G193" i="15" s="1"/>
  <c r="S193" i="15" s="1"/>
  <c r="E213" i="13"/>
  <c r="G235" i="15"/>
  <c r="E169" i="13"/>
  <c r="G191" i="15"/>
  <c r="E117" i="13"/>
  <c r="G139" i="15"/>
  <c r="E217" i="13"/>
  <c r="G239" i="15" s="1"/>
  <c r="E119" i="13"/>
  <c r="G141" i="15" s="1"/>
  <c r="E219" i="13"/>
  <c r="G241" i="15" s="1"/>
  <c r="D58" i="16"/>
  <c r="C51" i="2"/>
  <c r="G21" i="12"/>
  <c r="C62" i="2"/>
  <c r="K39" i="2"/>
  <c r="E227" i="13"/>
  <c r="G249" i="15"/>
  <c r="E81" i="13"/>
  <c r="G103" i="15"/>
  <c r="O103" i="15" s="1"/>
  <c r="E104" i="16" s="1"/>
  <c r="C32" i="2"/>
  <c r="B35" i="2" s="1"/>
  <c r="E229" i="13"/>
  <c r="G251" i="15" s="1"/>
  <c r="E177" i="13"/>
  <c r="G199" i="15" s="1"/>
  <c r="E172" i="13"/>
  <c r="G194" i="15" s="1"/>
  <c r="E223" i="13"/>
  <c r="G245" i="15" s="1"/>
  <c r="S245" i="15" s="1"/>
  <c r="F246" i="16" s="1"/>
  <c r="C66" i="2"/>
  <c r="K43" i="2"/>
  <c r="E179" i="13"/>
  <c r="G201" i="15"/>
  <c r="C78" i="2"/>
  <c r="K55" i="2"/>
  <c r="F25" i="12"/>
  <c r="E225" i="13"/>
  <c r="G247" i="15"/>
  <c r="E181" i="13"/>
  <c r="G203" i="15"/>
  <c r="E231" i="13"/>
  <c r="G253" i="15"/>
  <c r="E79" i="13"/>
  <c r="G101" i="15"/>
  <c r="D102" i="16" s="1"/>
  <c r="F13" i="12"/>
  <c r="E173" i="13"/>
  <c r="G195" i="15" s="1"/>
  <c r="E183" i="13"/>
  <c r="G205" i="15" s="1"/>
  <c r="E131" i="13"/>
  <c r="G153" i="15" s="1"/>
  <c r="E129" i="13"/>
  <c r="G151" i="15" s="1"/>
  <c r="E39" i="13"/>
  <c r="G61" i="15" s="1"/>
  <c r="E33" i="13"/>
  <c r="G55" i="15" s="1"/>
  <c r="O55" i="15" s="1"/>
  <c r="E56" i="16" s="1"/>
  <c r="E83" i="13"/>
  <c r="G105" i="15"/>
  <c r="D106" i="16" s="1"/>
  <c r="E133" i="13"/>
  <c r="G155" i="15" s="1"/>
  <c r="E85" i="13"/>
  <c r="G107" i="15" s="1"/>
  <c r="E76" i="13"/>
  <c r="G98" i="15" s="1"/>
  <c r="O123" i="15"/>
  <c r="E124" i="16" s="1"/>
  <c r="B124" i="16" s="1"/>
  <c r="S171" i="15"/>
  <c r="F172" i="16"/>
  <c r="O171" i="15"/>
  <c r="E172" i="16" s="1"/>
  <c r="O57" i="15"/>
  <c r="E58" i="16" s="1"/>
  <c r="B58" i="16" s="1"/>
  <c r="E125" i="13"/>
  <c r="G147" i="15"/>
  <c r="S147" i="15" s="1"/>
  <c r="F148" i="16" s="1"/>
  <c r="E135" i="13"/>
  <c r="G157" i="15" s="1"/>
  <c r="E207" i="13"/>
  <c r="G229" i="15" s="1"/>
  <c r="E31" i="13"/>
  <c r="G53" i="15" s="1"/>
  <c r="O53" i="15" s="1"/>
  <c r="E54" i="16" s="1"/>
  <c r="E37" i="13"/>
  <c r="G59" i="15"/>
  <c r="S59" i="15" s="1"/>
  <c r="F60" i="16" s="1"/>
  <c r="E161" i="13"/>
  <c r="G183" i="15" s="1"/>
  <c r="E124" i="13"/>
  <c r="G146" i="15" s="1"/>
  <c r="E103" i="13"/>
  <c r="G125" i="15" s="1"/>
  <c r="E67" i="13"/>
  <c r="G89" i="15" s="1"/>
  <c r="S169" i="15"/>
  <c r="F170" i="16" s="1"/>
  <c r="D62" i="16"/>
  <c r="C79" i="2"/>
  <c r="K56" i="2"/>
  <c r="C70" i="2"/>
  <c r="K47" i="2"/>
  <c r="E107" i="13"/>
  <c r="G129" i="15"/>
  <c r="S129" i="15" s="1"/>
  <c r="F130" i="16"/>
  <c r="E243" i="13"/>
  <c r="G265" i="15"/>
  <c r="E237" i="13"/>
  <c r="G259" i="15"/>
  <c r="E73" i="13"/>
  <c r="G95" i="15"/>
  <c r="E100" i="13"/>
  <c r="G122" i="15"/>
  <c r="S122" i="15" s="1"/>
  <c r="F123" i="16" s="1"/>
  <c r="C123" i="16" s="1"/>
  <c r="E65" i="13"/>
  <c r="G87" i="15" s="1"/>
  <c r="S87" i="15" s="1"/>
  <c r="F88" i="16" s="1"/>
  <c r="C88" i="16" s="1"/>
  <c r="E111" i="13"/>
  <c r="G133" i="15"/>
  <c r="E127" i="13"/>
  <c r="G149" i="15"/>
  <c r="E201" i="13"/>
  <c r="G223" i="15"/>
  <c r="O223" i="15" s="1"/>
  <c r="E224" i="16" s="1"/>
  <c r="B224" i="16" s="1"/>
  <c r="E28" i="13"/>
  <c r="G50" i="15" s="1"/>
  <c r="O145" i="15"/>
  <c r="E146" i="16"/>
  <c r="S145" i="15"/>
  <c r="F146" i="16"/>
  <c r="D146" i="16"/>
  <c r="O169" i="15"/>
  <c r="E170" i="16" s="1"/>
  <c r="B170" i="16" s="1"/>
  <c r="C39" i="2"/>
  <c r="G9" i="12"/>
  <c r="S103" i="15"/>
  <c r="F104" i="16" s="1"/>
  <c r="D172" i="16"/>
  <c r="O217" i="15"/>
  <c r="E218" i="16"/>
  <c r="B218" i="16" s="1"/>
  <c r="S217" i="15"/>
  <c r="F218" i="16" s="1"/>
  <c r="D218" i="16"/>
  <c r="D148" i="16"/>
  <c r="O129" i="15"/>
  <c r="E130" i="16" s="1"/>
  <c r="S175" i="15"/>
  <c r="F176" i="16" s="1"/>
  <c r="D118" i="16"/>
  <c r="O117" i="15"/>
  <c r="E118" i="16"/>
  <c r="B118" i="16" s="1"/>
  <c r="D70" i="16"/>
  <c r="S69" i="15"/>
  <c r="F70" i="16"/>
  <c r="C70" i="16" s="1"/>
  <c r="D82" i="16"/>
  <c r="D24" i="14"/>
  <c r="D32" i="14"/>
  <c r="G224" i="16" s="1"/>
  <c r="D17" i="14"/>
  <c r="B61" i="2" s="1"/>
  <c r="D25" i="14"/>
  <c r="B69" i="2" s="1"/>
  <c r="D33" i="14"/>
  <c r="D22" i="14"/>
  <c r="B66" i="2" s="1"/>
  <c r="D30" i="14"/>
  <c r="H204" i="16" s="1"/>
  <c r="D23" i="14"/>
  <c r="G118" i="16" s="1"/>
  <c r="D200" i="16"/>
  <c r="O199" i="15"/>
  <c r="E200" i="16" s="1"/>
  <c r="B200" i="16" s="1"/>
  <c r="S199" i="15"/>
  <c r="F200" i="16"/>
  <c r="C200" i="16" s="1"/>
  <c r="O143" i="15"/>
  <c r="E144" i="16" s="1"/>
  <c r="B144" i="16" s="1"/>
  <c r="S143" i="15"/>
  <c r="F144" i="16"/>
  <c r="C144" i="16" s="1"/>
  <c r="D144" i="16"/>
  <c r="D224" i="16"/>
  <c r="D88" i="16"/>
  <c r="O257" i="15"/>
  <c r="E258" i="16" s="1"/>
  <c r="B258" i="16" s="1"/>
  <c r="S257" i="15"/>
  <c r="F258" i="16"/>
  <c r="D258" i="16"/>
  <c r="D54" i="16"/>
  <c r="S101" i="15"/>
  <c r="F102" i="16"/>
  <c r="C102" i="16" s="1"/>
  <c r="O101" i="15"/>
  <c r="E102" i="16" s="1"/>
  <c r="B102" i="16" s="1"/>
  <c r="D128" i="16"/>
  <c r="S127" i="15"/>
  <c r="F128" i="16" s="1"/>
  <c r="C128" i="16" s="1"/>
  <c r="O127" i="15"/>
  <c r="E128" i="16"/>
  <c r="B128" i="16" s="1"/>
  <c r="D56" i="16"/>
  <c r="S55" i="15"/>
  <c r="F56" i="16"/>
  <c r="C56" i="16" s="1"/>
  <c r="O235" i="15"/>
  <c r="E236" i="16"/>
  <c r="B236" i="16" s="1"/>
  <c r="D236" i="16"/>
  <c r="S235" i="15"/>
  <c r="F236" i="16"/>
  <c r="O122" i="15"/>
  <c r="E123" i="16"/>
  <c r="D116" i="16"/>
  <c r="O115" i="15"/>
  <c r="E116" i="16" s="1"/>
  <c r="B116" i="16" s="1"/>
  <c r="S115" i="15"/>
  <c r="F116" i="16"/>
  <c r="C116" i="16" s="1"/>
  <c r="O239" i="15"/>
  <c r="E240" i="16" s="1"/>
  <c r="D240" i="16"/>
  <c r="S239" i="15"/>
  <c r="F240" i="16"/>
  <c r="C240" i="16" s="1"/>
  <c r="D123" i="16"/>
  <c r="S223" i="15"/>
  <c r="F224" i="16" s="1"/>
  <c r="C224" i="16" s="1"/>
  <c r="S53" i="15"/>
  <c r="F54" i="16"/>
  <c r="S61" i="15"/>
  <c r="F62" i="16"/>
  <c r="C62" i="16" s="1"/>
  <c r="O61" i="15"/>
  <c r="E62" i="16" s="1"/>
  <c r="B62" i="16" s="1"/>
  <c r="D99" i="16"/>
  <c r="S98" i="15"/>
  <c r="F99" i="16" s="1"/>
  <c r="O98" i="15"/>
  <c r="E99" i="16" s="1"/>
  <c r="B99" i="16" s="1"/>
  <c r="D60" i="16"/>
  <c r="O59" i="15"/>
  <c r="E60" i="16" s="1"/>
  <c r="B60" i="16" s="1"/>
  <c r="O149" i="15"/>
  <c r="E150" i="16" s="1"/>
  <c r="B150" i="16" s="1"/>
  <c r="S149" i="15"/>
  <c r="F150" i="16"/>
  <c r="D150" i="16"/>
  <c r="O195" i="15"/>
  <c r="E196" i="16"/>
  <c r="B196" i="16" s="1"/>
  <c r="D196" i="16"/>
  <c r="S195" i="15"/>
  <c r="F196" i="16"/>
  <c r="O211" i="15"/>
  <c r="E212" i="16"/>
  <c r="S211" i="15"/>
  <c r="F212" i="16"/>
  <c r="C212" i="16" s="1"/>
  <c r="D212" i="16"/>
  <c r="D178" i="16"/>
  <c r="O177" i="15"/>
  <c r="E178" i="16" s="1"/>
  <c r="S177" i="15"/>
  <c r="F178" i="16" s="1"/>
  <c r="C178" i="16" s="1"/>
  <c r="S259" i="15"/>
  <c r="F260" i="16"/>
  <c r="C260" i="16" s="1"/>
  <c r="D260" i="16"/>
  <c r="O259" i="15"/>
  <c r="E260" i="16"/>
  <c r="D75" i="16"/>
  <c r="S74" i="15"/>
  <c r="F75" i="16" s="1"/>
  <c r="D108" i="16"/>
  <c r="O107" i="15"/>
  <c r="E108" i="16"/>
  <c r="B108" i="16" s="1"/>
  <c r="S107" i="15"/>
  <c r="F108" i="16" s="1"/>
  <c r="C108" i="16" s="1"/>
  <c r="D242" i="16"/>
  <c r="S241" i="15"/>
  <c r="F242" i="16"/>
  <c r="C242" i="16" s="1"/>
  <c r="O241" i="15"/>
  <c r="E242" i="16"/>
  <c r="S139" i="15"/>
  <c r="F140" i="16"/>
  <c r="D140" i="16"/>
  <c r="O139" i="15"/>
  <c r="E140" i="16" s="1"/>
  <c r="B140" i="16" s="1"/>
  <c r="O161" i="15"/>
  <c r="E162" i="16"/>
  <c r="S161" i="15"/>
  <c r="F162" i="16"/>
  <c r="O227" i="15"/>
  <c r="E228" i="16"/>
  <c r="B228" i="16" s="1"/>
  <c r="D228" i="16"/>
  <c r="S227" i="15"/>
  <c r="F228" i="16"/>
  <c r="O79" i="15"/>
  <c r="E80" i="16"/>
  <c r="S79" i="15"/>
  <c r="F80" i="16"/>
  <c r="D80" i="16"/>
  <c r="B36" i="2"/>
  <c r="C36" i="2" s="1"/>
  <c r="C35" i="2"/>
  <c r="O182" i="15"/>
  <c r="E183" i="16" s="1"/>
  <c r="B183" i="16" s="1"/>
  <c r="D183" i="16"/>
  <c r="S182" i="15"/>
  <c r="F183" i="16" s="1"/>
  <c r="C183" i="16" s="1"/>
  <c r="O263" i="15"/>
  <c r="E264" i="16"/>
  <c r="D264" i="16"/>
  <c r="S263" i="15"/>
  <c r="F264" i="16" s="1"/>
  <c r="S86" i="15"/>
  <c r="F87" i="16" s="1"/>
  <c r="D74" i="16"/>
  <c r="O73" i="15"/>
  <c r="E74" i="16" s="1"/>
  <c r="S73" i="15"/>
  <c r="F74" i="16"/>
  <c r="S173" i="15"/>
  <c r="F174" i="16"/>
  <c r="C174" i="16" s="1"/>
  <c r="D174" i="16"/>
  <c r="O173" i="15"/>
  <c r="E174" i="16"/>
  <c r="C99" i="16"/>
  <c r="D130" i="16"/>
  <c r="B130" i="16"/>
  <c r="C236" i="16"/>
  <c r="C218" i="16"/>
  <c r="O191" i="15"/>
  <c r="E192" i="16" s="1"/>
  <c r="S49" i="15"/>
  <c r="F50" i="16" s="1"/>
  <c r="D50" i="16"/>
  <c r="O49" i="15"/>
  <c r="E50" i="16"/>
  <c r="D136" i="16"/>
  <c r="O135" i="15"/>
  <c r="E136" i="16" s="1"/>
  <c r="S135" i="15"/>
  <c r="F136" i="16" s="1"/>
  <c r="O163" i="15"/>
  <c r="E164" i="16" s="1"/>
  <c r="O33" i="15"/>
  <c r="E34" i="16" s="1"/>
  <c r="S33" i="15"/>
  <c r="F34" i="16" s="1"/>
  <c r="O109" i="15"/>
  <c r="E110" i="16" s="1"/>
  <c r="D110" i="16"/>
  <c r="S109" i="15"/>
  <c r="F110" i="16" s="1"/>
  <c r="S185" i="15"/>
  <c r="F186" i="16" s="1"/>
  <c r="D186" i="16"/>
  <c r="O185" i="15"/>
  <c r="E186" i="16" s="1"/>
  <c r="D38" i="16"/>
  <c r="O37" i="15"/>
  <c r="E38" i="16"/>
  <c r="D126" i="16"/>
  <c r="O125" i="15"/>
  <c r="E126" i="16" s="1"/>
  <c r="S125" i="15"/>
  <c r="F126" i="16"/>
  <c r="C126" i="16" s="1"/>
  <c r="D246" i="16"/>
  <c r="O245" i="15"/>
  <c r="E246" i="16"/>
  <c r="O193" i="15"/>
  <c r="E194" i="16"/>
  <c r="F194" i="16"/>
  <c r="D194" i="16"/>
  <c r="D231" i="16"/>
  <c r="O230" i="15"/>
  <c r="E231" i="16" s="1"/>
  <c r="G231" i="16" s="1"/>
  <c r="O213" i="15"/>
  <c r="E214" i="16" s="1"/>
  <c r="S213" i="15"/>
  <c r="F214" i="16"/>
  <c r="D214" i="16"/>
  <c r="S131" i="15"/>
  <c r="F132" i="16"/>
  <c r="D266" i="16"/>
  <c r="S265" i="15"/>
  <c r="F266" i="16" s="1"/>
  <c r="O265" i="15"/>
  <c r="E266" i="16" s="1"/>
  <c r="G266" i="16" s="1"/>
  <c r="D184" i="16"/>
  <c r="S183" i="15"/>
  <c r="F184" i="16" s="1"/>
  <c r="O183" i="15"/>
  <c r="E184" i="16" s="1"/>
  <c r="O201" i="15"/>
  <c r="E202" i="16"/>
  <c r="D202" i="16"/>
  <c r="S201" i="15"/>
  <c r="F202" i="16" s="1"/>
  <c r="S194" i="15"/>
  <c r="F195" i="16"/>
  <c r="D195" i="16"/>
  <c r="O194" i="15"/>
  <c r="E195" i="16" s="1"/>
  <c r="D142" i="16"/>
  <c r="O141" i="15"/>
  <c r="E142" i="16"/>
  <c r="S141" i="15"/>
  <c r="F142" i="16"/>
  <c r="O47" i="15"/>
  <c r="E48" i="16"/>
  <c r="D48" i="16"/>
  <c r="S47" i="15"/>
  <c r="F48" i="16"/>
  <c r="S187" i="15"/>
  <c r="F188" i="16"/>
  <c r="D188" i="16"/>
  <c r="O187" i="15"/>
  <c r="E188" i="16" s="1"/>
  <c r="O209" i="15"/>
  <c r="E210" i="16" s="1"/>
  <c r="D210" i="16"/>
  <c r="S209" i="15"/>
  <c r="F210" i="16"/>
  <c r="O121" i="15"/>
  <c r="E122" i="16"/>
  <c r="B122" i="16" s="1"/>
  <c r="D122" i="16"/>
  <c r="S121" i="15"/>
  <c r="F122" i="16"/>
  <c r="S170" i="15"/>
  <c r="F171" i="16" s="1"/>
  <c r="D171" i="16"/>
  <c r="O170" i="15"/>
  <c r="E171" i="16"/>
  <c r="S62" i="15"/>
  <c r="F63" i="16" s="1"/>
  <c r="O62" i="15"/>
  <c r="E63" i="16" s="1"/>
  <c r="D63" i="16"/>
  <c r="D36" i="16"/>
  <c r="O35" i="15"/>
  <c r="E36" i="16" s="1"/>
  <c r="S35" i="15"/>
  <c r="F36" i="16"/>
  <c r="O50" i="15"/>
  <c r="E51" i="16" s="1"/>
  <c r="B51" i="16" s="1"/>
  <c r="D51" i="16"/>
  <c r="S50" i="15"/>
  <c r="F51" i="16" s="1"/>
  <c r="H51" i="16" s="1"/>
  <c r="D96" i="16"/>
  <c r="S95" i="15"/>
  <c r="F96" i="16"/>
  <c r="O95" i="15"/>
  <c r="E96" i="16"/>
  <c r="G96" i="16" s="1"/>
  <c r="O251" i="15"/>
  <c r="E252" i="16" s="1"/>
  <c r="D252" i="16"/>
  <c r="S251" i="15"/>
  <c r="F252" i="16"/>
  <c r="C252" i="16" s="1"/>
  <c r="D234" i="16"/>
  <c r="S233" i="15"/>
  <c r="F234" i="16"/>
  <c r="O233" i="15"/>
  <c r="E234" i="16"/>
  <c r="O45" i="15"/>
  <c r="E46" i="16" s="1"/>
  <c r="D46" i="16"/>
  <c r="S45" i="15"/>
  <c r="F46" i="16" s="1"/>
  <c r="S65" i="15"/>
  <c r="F66" i="16" s="1"/>
  <c r="O65" i="15"/>
  <c r="E66" i="16" s="1"/>
  <c r="D66" i="16"/>
  <c r="S181" i="15"/>
  <c r="F182" i="16" s="1"/>
  <c r="D182" i="16"/>
  <c r="O181" i="15"/>
  <c r="E182" i="16" s="1"/>
  <c r="G182" i="16" s="1"/>
  <c r="O31" i="15"/>
  <c r="E32" i="16" s="1"/>
  <c r="S31" i="15"/>
  <c r="F32" i="16"/>
  <c r="D32" i="16"/>
  <c r="B172" i="16"/>
  <c r="B75" i="16"/>
  <c r="C58" i="16"/>
  <c r="S43" i="15"/>
  <c r="F44" i="16"/>
  <c r="B240" i="16"/>
  <c r="B212" i="16"/>
  <c r="C264" i="16"/>
  <c r="C80" i="16"/>
  <c r="B146" i="16"/>
  <c r="B123" i="16"/>
  <c r="C150" i="16"/>
  <c r="C54" i="16"/>
  <c r="C146" i="16"/>
  <c r="C228" i="16"/>
  <c r="C258" i="16"/>
  <c r="H258" i="16"/>
  <c r="S133" i="15"/>
  <c r="F134" i="16"/>
  <c r="H134" i="16" s="1"/>
  <c r="O133" i="15"/>
  <c r="E134" i="16" s="1"/>
  <c r="B134" i="16" s="1"/>
  <c r="D134" i="16"/>
  <c r="S253" i="15"/>
  <c r="F254" i="16" s="1"/>
  <c r="D254" i="16"/>
  <c r="O253" i="15"/>
  <c r="E254" i="16"/>
  <c r="B254" i="16" s="1"/>
  <c r="O189" i="15"/>
  <c r="E190" i="16"/>
  <c r="S189" i="15"/>
  <c r="F190" i="16"/>
  <c r="D190" i="16"/>
  <c r="D208" i="16"/>
  <c r="O207" i="15"/>
  <c r="E208" i="16" s="1"/>
  <c r="S207" i="15"/>
  <c r="F208" i="16" s="1"/>
  <c r="S81" i="15"/>
  <c r="F82" i="16" s="1"/>
  <c r="O81" i="15"/>
  <c r="E82" i="16" s="1"/>
  <c r="D72" i="16"/>
  <c r="O71" i="15"/>
  <c r="E72" i="16" s="1"/>
  <c r="S71" i="15"/>
  <c r="F72" i="16" s="1"/>
  <c r="C72" i="16" s="1"/>
  <c r="O119" i="15"/>
  <c r="E120" i="16" s="1"/>
  <c r="D120" i="16"/>
  <c r="S119" i="15"/>
  <c r="F120" i="16"/>
  <c r="D166" i="16"/>
  <c r="O165" i="15"/>
  <c r="E166" i="16"/>
  <c r="B166" i="16" s="1"/>
  <c r="S165" i="15"/>
  <c r="F166" i="16" s="1"/>
  <c r="S159" i="15"/>
  <c r="F160" i="16" s="1"/>
  <c r="D160" i="16"/>
  <c r="O159" i="15"/>
  <c r="E160" i="16"/>
  <c r="B160" i="16" s="1"/>
  <c r="D86" i="16"/>
  <c r="O85" i="15"/>
  <c r="E86" i="16" s="1"/>
  <c r="S85" i="15"/>
  <c r="F86" i="16" s="1"/>
  <c r="S67" i="15"/>
  <c r="F68" i="16"/>
  <c r="D68" i="16"/>
  <c r="O67" i="15"/>
  <c r="E68" i="16"/>
  <c r="O29" i="15"/>
  <c r="E30" i="16"/>
  <c r="S29" i="15"/>
  <c r="F30" i="16"/>
  <c r="D30" i="16"/>
  <c r="O113" i="15"/>
  <c r="E114" i="16" s="1"/>
  <c r="D114" i="16"/>
  <c r="S113" i="15"/>
  <c r="F114" i="16"/>
  <c r="D52" i="16"/>
  <c r="O51" i="15"/>
  <c r="E52" i="16" s="1"/>
  <c r="S51" i="15"/>
  <c r="F52" i="16" s="1"/>
  <c r="H52" i="16" s="1"/>
  <c r="O105" i="15"/>
  <c r="E106" i="16"/>
  <c r="S105" i="15"/>
  <c r="F106" i="16"/>
  <c r="C106" i="16" s="1"/>
  <c r="O151" i="15"/>
  <c r="E152" i="16" s="1"/>
  <c r="S151" i="15"/>
  <c r="F152" i="16" s="1"/>
  <c r="D152" i="16"/>
  <c r="S203" i="15"/>
  <c r="F204" i="16"/>
  <c r="O203" i="15"/>
  <c r="E204" i="16"/>
  <c r="D204" i="16"/>
  <c r="O97" i="15"/>
  <c r="E98" i="16"/>
  <c r="D98" i="16"/>
  <c r="S97" i="15"/>
  <c r="F98" i="16" s="1"/>
  <c r="S215" i="15"/>
  <c r="F216" i="16" s="1"/>
  <c r="C216" i="16" s="1"/>
  <c r="D216" i="16"/>
  <c r="O215" i="15"/>
  <c r="E216" i="16"/>
  <c r="O158" i="15"/>
  <c r="E159" i="16"/>
  <c r="S158" i="15"/>
  <c r="F159" i="16"/>
  <c r="D159" i="16"/>
  <c r="G159" i="16"/>
  <c r="S111" i="15"/>
  <c r="F112" i="16"/>
  <c r="D112" i="16"/>
  <c r="O111" i="15"/>
  <c r="E112" i="16" s="1"/>
  <c r="S179" i="15"/>
  <c r="F180" i="16" s="1"/>
  <c r="H180" i="16" s="1"/>
  <c r="D180" i="16"/>
  <c r="O179" i="15"/>
  <c r="E180" i="16"/>
  <c r="D226" i="16"/>
  <c r="S225" i="15"/>
  <c r="F226" i="16" s="1"/>
  <c r="O225" i="15"/>
  <c r="E226" i="16" s="1"/>
  <c r="D220" i="16"/>
  <c r="S219" i="15"/>
  <c r="F220" i="16" s="1"/>
  <c r="O219" i="15"/>
  <c r="E220" i="16" s="1"/>
  <c r="S243" i="15"/>
  <c r="F244" i="16"/>
  <c r="D244" i="16"/>
  <c r="O243" i="15"/>
  <c r="E244" i="16" s="1"/>
  <c r="O91" i="15"/>
  <c r="E92" i="16"/>
  <c r="D92" i="16"/>
  <c r="S91" i="15"/>
  <c r="F92" i="16" s="1"/>
  <c r="H92" i="16" s="1"/>
  <c r="D138" i="16"/>
  <c r="S137" i="15"/>
  <c r="F138" i="16"/>
  <c r="O137" i="15"/>
  <c r="E138" i="16"/>
  <c r="D40" i="16"/>
  <c r="S39" i="15"/>
  <c r="F40" i="16" s="1"/>
  <c r="C40" i="16" s="1"/>
  <c r="O39" i="15"/>
  <c r="E40" i="16" s="1"/>
  <c r="D168" i="16"/>
  <c r="S167" i="15"/>
  <c r="F168" i="16" s="1"/>
  <c r="O167" i="15"/>
  <c r="E168" i="16" s="1"/>
  <c r="G168" i="16" s="1"/>
  <c r="S221" i="15"/>
  <c r="F222" i="16" s="1"/>
  <c r="O221" i="15"/>
  <c r="E222" i="16" s="1"/>
  <c r="D222" i="16"/>
  <c r="D176" i="16"/>
  <c r="C176" i="16"/>
  <c r="O175" i="15"/>
  <c r="E176" i="16"/>
  <c r="B70" i="16"/>
  <c r="O146" i="15"/>
  <c r="E147" i="16"/>
  <c r="H108" i="16"/>
  <c r="H228" i="16"/>
  <c r="G170" i="16"/>
  <c r="H264" i="16"/>
  <c r="G260" i="16"/>
  <c r="G258" i="16"/>
  <c r="G264" i="16"/>
  <c r="H260" i="16"/>
  <c r="H146" i="16"/>
  <c r="G146" i="16"/>
  <c r="B74" i="2"/>
  <c r="H51" i="2" s="1"/>
  <c r="I51" i="2" s="1"/>
  <c r="E21" i="12" s="1"/>
  <c r="G130" i="16"/>
  <c r="H176" i="16"/>
  <c r="G123" i="16"/>
  <c r="H96" i="16"/>
  <c r="H88" i="16"/>
  <c r="G124" i="16"/>
  <c r="H126" i="16"/>
  <c r="G128" i="16"/>
  <c r="B68" i="2"/>
  <c r="L45" i="2" s="1"/>
  <c r="M45" i="2" s="1"/>
  <c r="H123" i="16"/>
  <c r="G178" i="16"/>
  <c r="H178" i="16"/>
  <c r="H174" i="16"/>
  <c r="G172" i="16"/>
  <c r="H128" i="16"/>
  <c r="H130" i="16"/>
  <c r="H172" i="16"/>
  <c r="H75" i="16"/>
  <c r="H162" i="16"/>
  <c r="G62" i="16"/>
  <c r="G162" i="16"/>
  <c r="H54" i="16"/>
  <c r="H62" i="16"/>
  <c r="L55" i="2"/>
  <c r="M55" i="2" s="1"/>
  <c r="H55" i="2"/>
  <c r="I55" i="2" s="1"/>
  <c r="E25" i="12" s="1"/>
  <c r="G54" i="16"/>
  <c r="G50" i="16"/>
  <c r="H60" i="16"/>
  <c r="G58" i="16"/>
  <c r="G56" i="16"/>
  <c r="H112" i="16"/>
  <c r="H170" i="16"/>
  <c r="H58" i="16"/>
  <c r="G60" i="16"/>
  <c r="H252" i="16"/>
  <c r="H56" i="16"/>
  <c r="B71" i="2"/>
  <c r="L48" i="2" s="1"/>
  <c r="M48" i="2" s="1"/>
  <c r="H148" i="16"/>
  <c r="H240" i="16"/>
  <c r="H242" i="16"/>
  <c r="G242" i="16"/>
  <c r="G108" i="16"/>
  <c r="H99" i="16"/>
  <c r="B77" i="2"/>
  <c r="L54" i="2" s="1"/>
  <c r="M54" i="2" s="1"/>
  <c r="H236" i="16"/>
  <c r="G236" i="16"/>
  <c r="G99" i="16"/>
  <c r="B76" i="2"/>
  <c r="L53" i="2" s="1"/>
  <c r="M53" i="2" s="1"/>
  <c r="G240" i="16"/>
  <c r="C159" i="16"/>
  <c r="B204" i="16"/>
  <c r="G171" i="16"/>
  <c r="H231" i="16"/>
  <c r="H246" i="16"/>
  <c r="C162" i="16"/>
  <c r="C112" i="16"/>
  <c r="B98" i="16"/>
  <c r="C30" i="16"/>
  <c r="C68" i="16"/>
  <c r="C188" i="16"/>
  <c r="C74" i="16"/>
  <c r="C75" i="16"/>
  <c r="B260" i="16"/>
  <c r="B178" i="16"/>
  <c r="C196" i="16"/>
  <c r="B264" i="16"/>
  <c r="B162" i="16"/>
  <c r="C130" i="16"/>
  <c r="C96" i="16"/>
  <c r="B171" i="16"/>
  <c r="C48" i="16"/>
  <c r="C38" i="16"/>
  <c r="G254" i="16"/>
  <c r="G166" i="16"/>
  <c r="C114" i="16"/>
  <c r="B96" i="16"/>
  <c r="C142" i="16"/>
  <c r="B266" i="16"/>
  <c r="B231" i="16"/>
  <c r="B194" i="16"/>
  <c r="B246" i="16"/>
  <c r="B38" i="16"/>
  <c r="C136" i="16"/>
  <c r="G246" i="16"/>
  <c r="H159" i="16"/>
  <c r="G160" i="16"/>
  <c r="G134" i="16"/>
  <c r="B142" i="16"/>
  <c r="C231" i="16"/>
  <c r="C246" i="16"/>
  <c r="G51" i="16"/>
  <c r="B159" i="16"/>
  <c r="C204" i="16"/>
  <c r="C134" i="16"/>
  <c r="B182" i="16"/>
  <c r="B66" i="16"/>
  <c r="B46" i="16"/>
  <c r="C51" i="16"/>
  <c r="C122" i="16"/>
  <c r="B48" i="16"/>
  <c r="C202" i="16"/>
  <c r="B214" i="16"/>
  <c r="C194" i="16"/>
  <c r="B186" i="16"/>
  <c r="C110" i="16"/>
  <c r="B50" i="16"/>
  <c r="B72" i="16"/>
  <c r="B222" i="16"/>
  <c r="B168" i="16"/>
  <c r="C92" i="16"/>
  <c r="B220" i="16"/>
  <c r="C180" i="16"/>
  <c r="C52" i="16"/>
  <c r="B30" i="16"/>
  <c r="B86" i="16"/>
  <c r="C208" i="16"/>
  <c r="C190" i="16"/>
  <c r="B120" i="16"/>
  <c r="G98" i="16"/>
  <c r="C222" i="16"/>
  <c r="B190" i="16"/>
  <c r="H54" i="2"/>
  <c r="I54" i="2" s="1"/>
  <c r="E24" i="12" s="1"/>
  <c r="G176" i="16"/>
  <c r="B176" i="16"/>
  <c r="B138" i="16"/>
  <c r="C152" i="16"/>
  <c r="B114" i="16"/>
  <c r="B92" i="16"/>
  <c r="G92" i="16"/>
  <c r="G180" i="16"/>
  <c r="B180" i="16"/>
  <c r="B112" i="16"/>
  <c r="B52" i="16"/>
  <c r="G52" i="16"/>
  <c r="B82" i="16"/>
  <c r="H234" i="16"/>
  <c r="C234" i="16"/>
  <c r="C63" i="16"/>
  <c r="C50" i="16"/>
  <c r="B68" i="16"/>
  <c r="C120" i="16"/>
  <c r="B208" i="16"/>
  <c r="C32" i="16"/>
  <c r="G234" i="16"/>
  <c r="B234" i="16"/>
  <c r="H171" i="16"/>
  <c r="C171" i="16"/>
  <c r="C210" i="16"/>
  <c r="C195" i="16"/>
  <c r="B202" i="16"/>
  <c r="H244" i="16"/>
  <c r="C244" i="16"/>
  <c r="H138" i="16"/>
  <c r="C138" i="16"/>
  <c r="C220" i="16"/>
  <c r="C226" i="16"/>
  <c r="B216" i="16"/>
  <c r="H98" i="16"/>
  <c r="C98" i="16"/>
  <c r="G152" i="16"/>
  <c r="B152" i="16"/>
  <c r="H166" i="16"/>
  <c r="C166" i="16"/>
  <c r="C254" i="16"/>
  <c r="H254" i="16"/>
  <c r="B188" i="16"/>
  <c r="C184" i="16"/>
  <c r="C214" i="16"/>
  <c r="B80" i="16"/>
  <c r="C140" i="16"/>
  <c r="B106" i="16"/>
  <c r="H160" i="16"/>
  <c r="C160" i="16"/>
  <c r="C82" i="16"/>
  <c r="G252" i="16"/>
  <c r="B252" i="16"/>
  <c r="C36" i="16"/>
  <c r="B210" i="16"/>
  <c r="G195" i="16"/>
  <c r="B195" i="16"/>
  <c r="B174" i="16"/>
  <c r="G174" i="16"/>
  <c r="O89" i="15"/>
  <c r="E90" i="16" s="1"/>
  <c r="D90" i="16"/>
  <c r="S89" i="15"/>
  <c r="F90" i="16"/>
  <c r="O157" i="15"/>
  <c r="E158" i="16"/>
  <c r="S157" i="15"/>
  <c r="F158" i="16"/>
  <c r="D158" i="16"/>
  <c r="O41" i="15"/>
  <c r="E42" i="16"/>
  <c r="S41" i="15"/>
  <c r="F42" i="16"/>
  <c r="D42" i="16"/>
  <c r="O77" i="15"/>
  <c r="E78" i="16"/>
  <c r="S77" i="15"/>
  <c r="F78" i="16"/>
  <c r="D78" i="16"/>
  <c r="O83" i="15"/>
  <c r="E84" i="16" s="1"/>
  <c r="S83" i="15"/>
  <c r="F84" i="16" s="1"/>
  <c r="D84" i="16"/>
  <c r="O86" i="15"/>
  <c r="E87" i="16"/>
  <c r="D87" i="16"/>
  <c r="D76" i="16"/>
  <c r="S75" i="15"/>
  <c r="F76" i="16"/>
  <c r="O75" i="15"/>
  <c r="E76" i="16"/>
  <c r="O27" i="15"/>
  <c r="E28" i="16"/>
  <c r="D28" i="16"/>
  <c r="S27" i="15"/>
  <c r="F28" i="16" s="1"/>
  <c r="B242" i="16"/>
  <c r="C170" i="16"/>
  <c r="S146" i="15"/>
  <c r="F147" i="16"/>
  <c r="D147" i="16"/>
  <c r="G147" i="16"/>
  <c r="S229" i="15"/>
  <c r="F230" i="16"/>
  <c r="O229" i="15"/>
  <c r="E230" i="16"/>
  <c r="D230" i="16"/>
  <c r="O153" i="15"/>
  <c r="E154" i="16" s="1"/>
  <c r="D154" i="16"/>
  <c r="S153" i="15"/>
  <c r="F154" i="16"/>
  <c r="O247" i="15"/>
  <c r="E248" i="16" s="1"/>
  <c r="D248" i="16"/>
  <c r="S247" i="15"/>
  <c r="F248" i="16"/>
  <c r="D44" i="16"/>
  <c r="O43" i="15"/>
  <c r="E44" i="16"/>
  <c r="S163" i="15"/>
  <c r="F164" i="16"/>
  <c r="D164" i="16"/>
  <c r="O255" i="15"/>
  <c r="E256" i="16" s="1"/>
  <c r="D256" i="16"/>
  <c r="S255" i="15"/>
  <c r="F256" i="16"/>
  <c r="S231" i="15"/>
  <c r="F232" i="16" s="1"/>
  <c r="D232" i="16"/>
  <c r="O231" i="15"/>
  <c r="E232" i="16"/>
  <c r="S155" i="15"/>
  <c r="F156" i="16" s="1"/>
  <c r="D156" i="16"/>
  <c r="O155" i="15"/>
  <c r="E156" i="16"/>
  <c r="D206" i="16"/>
  <c r="S205" i="15"/>
  <c r="F206" i="16" s="1"/>
  <c r="O205" i="15"/>
  <c r="E206" i="16" s="1"/>
  <c r="S191" i="15"/>
  <c r="F192" i="16" s="1"/>
  <c r="D192" i="16"/>
  <c r="D94" i="16"/>
  <c r="O93" i="15"/>
  <c r="E94" i="16"/>
  <c r="S93" i="15"/>
  <c r="F94" i="16"/>
  <c r="S261" i="15"/>
  <c r="F262" i="16" s="1"/>
  <c r="D262" i="16"/>
  <c r="O261" i="15"/>
  <c r="E262" i="16"/>
  <c r="D100" i="16"/>
  <c r="S99" i="15"/>
  <c r="F100" i="16"/>
  <c r="O99" i="15"/>
  <c r="E100" i="16"/>
  <c r="D64" i="16"/>
  <c r="S63" i="15"/>
  <c r="F64" i="16" s="1"/>
  <c r="O63" i="15"/>
  <c r="E64" i="16" s="1"/>
  <c r="S249" i="15"/>
  <c r="F250" i="16"/>
  <c r="D250" i="16"/>
  <c r="O249" i="15"/>
  <c r="E250" i="16" s="1"/>
  <c r="O237" i="15"/>
  <c r="E238" i="16"/>
  <c r="D238" i="16"/>
  <c r="S237" i="15"/>
  <c r="F238" i="16" s="1"/>
  <c r="D132" i="16"/>
  <c r="C132" i="16"/>
  <c r="O131" i="15"/>
  <c r="E132" i="16"/>
  <c r="O147" i="15"/>
  <c r="E148" i="16"/>
  <c r="B148" i="16" s="1"/>
  <c r="O87" i="15"/>
  <c r="E88" i="16"/>
  <c r="D104" i="16"/>
  <c r="C104" i="16"/>
  <c r="L49" i="2"/>
  <c r="M49" i="2" s="1"/>
  <c r="H49" i="2"/>
  <c r="I49" i="2" s="1"/>
  <c r="E19" i="12" s="1"/>
  <c r="G232" i="16"/>
  <c r="B232" i="16"/>
  <c r="C230" i="16"/>
  <c r="B28" i="16"/>
  <c r="H87" i="16"/>
  <c r="C87" i="16"/>
  <c r="C42" i="16"/>
  <c r="C158" i="16"/>
  <c r="H158" i="16"/>
  <c r="B104" i="16"/>
  <c r="H132" i="16"/>
  <c r="B147" i="16"/>
  <c r="G148" i="16"/>
  <c r="G132" i="16"/>
  <c r="B132" i="16"/>
  <c r="B238" i="16"/>
  <c r="G238" i="16"/>
  <c r="C100" i="16"/>
  <c r="B262" i="16"/>
  <c r="G262" i="16"/>
  <c r="B44" i="16"/>
  <c r="C154" i="16"/>
  <c r="B230" i="16"/>
  <c r="B78" i="16"/>
  <c r="B88" i="16"/>
  <c r="G88" i="16"/>
  <c r="H250" i="16"/>
  <c r="C250" i="16"/>
  <c r="B100" i="16"/>
  <c r="B94" i="16"/>
  <c r="G94" i="16"/>
  <c r="C256" i="16"/>
  <c r="H256" i="16"/>
  <c r="C164" i="16"/>
  <c r="H164" i="16"/>
  <c r="C147" i="16"/>
  <c r="C76" i="16"/>
  <c r="C78" i="16"/>
  <c r="C90" i="16"/>
  <c r="H90" i="16"/>
  <c r="C44" i="16"/>
  <c r="C94" i="16"/>
  <c r="H94" i="16"/>
  <c r="B156" i="16"/>
  <c r="G164" i="16"/>
  <c r="B164" i="16"/>
  <c r="H248" i="16"/>
  <c r="C248" i="16"/>
  <c r="B76" i="16"/>
  <c r="G87" i="16"/>
  <c r="B87" i="16"/>
  <c r="B42" i="16"/>
  <c r="B158" i="16"/>
  <c r="H46" i="2" l="1"/>
  <c r="I46" i="2" s="1"/>
  <c r="E16" i="12" s="1"/>
  <c r="L46" i="2"/>
  <c r="M46" i="2" s="1"/>
  <c r="H39" i="2"/>
  <c r="I39" i="2" s="1"/>
  <c r="E9" i="12" s="1"/>
  <c r="L39" i="2"/>
  <c r="M39" i="2" s="1"/>
  <c r="G138" i="16"/>
  <c r="G122" i="16"/>
  <c r="G183" i="16"/>
  <c r="H116" i="16"/>
  <c r="H142" i="16"/>
  <c r="G120" i="16"/>
  <c r="H122" i="16"/>
  <c r="H136" i="16"/>
  <c r="H154" i="16"/>
  <c r="H48" i="2"/>
  <c r="I48" i="2" s="1"/>
  <c r="E18" i="12" s="1"/>
  <c r="H82" i="16"/>
  <c r="H140" i="16"/>
  <c r="H152" i="16"/>
  <c r="H45" i="2"/>
  <c r="I45" i="2" s="1"/>
  <c r="E15" i="12" s="1"/>
  <c r="H40" i="16"/>
  <c r="H38" i="16"/>
  <c r="H150" i="16"/>
  <c r="G116" i="16"/>
  <c r="H118" i="16"/>
  <c r="G142" i="16"/>
  <c r="G144" i="16"/>
  <c r="G192" i="16"/>
  <c r="H120" i="16"/>
  <c r="G114" i="16"/>
  <c r="H144" i="16"/>
  <c r="G42" i="16"/>
  <c r="G112" i="16"/>
  <c r="L51" i="2"/>
  <c r="M51" i="2" s="1"/>
  <c r="H72" i="16"/>
  <c r="H114" i="16"/>
  <c r="H53" i="2"/>
  <c r="I53" i="2" s="1"/>
  <c r="E23" i="12" s="1"/>
  <c r="G38" i="16"/>
  <c r="G150" i="16"/>
  <c r="L56" i="2"/>
  <c r="M56" i="2" s="1"/>
  <c r="B67" i="2"/>
  <c r="B70" i="2"/>
  <c r="G140" i="16"/>
  <c r="L41" i="2"/>
  <c r="M41" i="2" s="1"/>
  <c r="H41" i="2"/>
  <c r="I41" i="2" s="1"/>
  <c r="E11" i="12" s="1"/>
  <c r="L38" i="2"/>
  <c r="M38" i="2" s="1"/>
  <c r="H38" i="2"/>
  <c r="I38" i="2" s="1"/>
  <c r="E8" i="12" s="1"/>
  <c r="H43" i="2"/>
  <c r="I43" i="2" s="1"/>
  <c r="E13" i="12" s="1"/>
  <c r="L43" i="2"/>
  <c r="M43" i="2" s="1"/>
  <c r="G218" i="16"/>
  <c r="G212" i="16"/>
  <c r="B75" i="2"/>
  <c r="G76" i="16"/>
  <c r="H214" i="16"/>
  <c r="G208" i="16"/>
  <c r="G82" i="16"/>
  <c r="G72" i="16"/>
  <c r="G200" i="16"/>
  <c r="H80" i="16"/>
  <c r="H208" i="16"/>
  <c r="G158" i="16"/>
  <c r="G156" i="16"/>
  <c r="G104" i="16"/>
  <c r="H230" i="16"/>
  <c r="H40" i="2"/>
  <c r="I40" i="2" s="1"/>
  <c r="E10" i="12" s="1"/>
  <c r="G194" i="16"/>
  <c r="H44" i="16"/>
  <c r="G210" i="16"/>
  <c r="H226" i="16"/>
  <c r="G202" i="16"/>
  <c r="H210" i="16"/>
  <c r="G68" i="16"/>
  <c r="H30" i="16"/>
  <c r="H222" i="16"/>
  <c r="G228" i="16"/>
  <c r="H106" i="16"/>
  <c r="H102" i="16"/>
  <c r="B60" i="2"/>
  <c r="L42" i="2"/>
  <c r="M42" i="2" s="1"/>
  <c r="G30" i="16"/>
  <c r="H224" i="16"/>
  <c r="H188" i="16"/>
  <c r="H196" i="16"/>
  <c r="G70" i="16"/>
  <c r="G222" i="16"/>
  <c r="G86" i="16"/>
  <c r="G66" i="16"/>
  <c r="G46" i="16"/>
  <c r="G48" i="16"/>
  <c r="G214" i="16"/>
  <c r="H110" i="16"/>
  <c r="H76" i="16"/>
  <c r="G78" i="16"/>
  <c r="G188" i="16"/>
  <c r="H63" i="16"/>
  <c r="H216" i="16"/>
  <c r="G190" i="16"/>
  <c r="H74" i="16"/>
  <c r="H190" i="16"/>
  <c r="H104" i="16"/>
  <c r="H78" i="16"/>
  <c r="G100" i="16"/>
  <c r="G230" i="16"/>
  <c r="G44" i="16"/>
  <c r="H100" i="16"/>
  <c r="H42" i="16"/>
  <c r="G28" i="16"/>
  <c r="H36" i="16"/>
  <c r="G106" i="16"/>
  <c r="G80" i="16"/>
  <c r="H184" i="16"/>
  <c r="G216" i="16"/>
  <c r="H220" i="16"/>
  <c r="H195" i="16"/>
  <c r="H50" i="16"/>
  <c r="H48" i="16"/>
  <c r="G204" i="16"/>
  <c r="H212" i="16"/>
  <c r="H183" i="16"/>
  <c r="B73" i="2"/>
  <c r="G196" i="16"/>
  <c r="G102" i="16"/>
  <c r="H200" i="16"/>
  <c r="G75" i="16"/>
  <c r="H70" i="16"/>
  <c r="G220" i="16"/>
  <c r="H68" i="16"/>
  <c r="H202" i="16"/>
  <c r="G186" i="16"/>
  <c r="H64" i="16"/>
  <c r="C64" i="16"/>
  <c r="C262" i="16"/>
  <c r="H262" i="16"/>
  <c r="G206" i="16"/>
  <c r="B206" i="16"/>
  <c r="H156" i="16"/>
  <c r="C156" i="16"/>
  <c r="H232" i="16"/>
  <c r="C232" i="16"/>
  <c r="G256" i="16"/>
  <c r="B256" i="16"/>
  <c r="H84" i="16"/>
  <c r="C84" i="16"/>
  <c r="G90" i="16"/>
  <c r="B90" i="16"/>
  <c r="H238" i="16"/>
  <c r="C238" i="16"/>
  <c r="G250" i="16"/>
  <c r="B250" i="16"/>
  <c r="G64" i="16"/>
  <c r="B64" i="16"/>
  <c r="H192" i="16"/>
  <c r="C192" i="16"/>
  <c r="H206" i="16"/>
  <c r="C206" i="16"/>
  <c r="B248" i="16"/>
  <c r="G248" i="16"/>
  <c r="G154" i="16"/>
  <c r="B154" i="16"/>
  <c r="H28" i="16"/>
  <c r="C28" i="16"/>
  <c r="G84" i="16"/>
  <c r="B84" i="16"/>
  <c r="B192" i="16"/>
  <c r="B226" i="16"/>
  <c r="G226" i="16"/>
  <c r="H182" i="16"/>
  <c r="C182" i="16"/>
  <c r="H46" i="16"/>
  <c r="C46" i="16"/>
  <c r="G36" i="16"/>
  <c r="B36" i="16"/>
  <c r="B126" i="16"/>
  <c r="G126" i="16"/>
  <c r="G110" i="16"/>
  <c r="B110" i="16"/>
  <c r="G34" i="16"/>
  <c r="B34" i="16"/>
  <c r="G74" i="16"/>
  <c r="B74" i="16"/>
  <c r="C168" i="16"/>
  <c r="H168" i="16"/>
  <c r="G40" i="16"/>
  <c r="B40" i="16"/>
  <c r="G244" i="16"/>
  <c r="B244" i="16"/>
  <c r="H86" i="16"/>
  <c r="C86" i="16"/>
  <c r="G32" i="16"/>
  <c r="B32" i="16"/>
  <c r="H66" i="16"/>
  <c r="C66" i="16"/>
  <c r="G63" i="16"/>
  <c r="B63" i="16"/>
  <c r="B184" i="16"/>
  <c r="G184" i="16"/>
  <c r="C266" i="16"/>
  <c r="H266" i="16"/>
  <c r="C186" i="16"/>
  <c r="H186" i="16"/>
  <c r="H34" i="16"/>
  <c r="C34" i="16"/>
  <c r="G136" i="16"/>
  <c r="B136" i="16"/>
  <c r="C60" i="16"/>
  <c r="B54" i="16"/>
  <c r="C148" i="16"/>
  <c r="C172" i="16"/>
  <c r="B56" i="16"/>
  <c r="C118" i="16"/>
  <c r="S123" i="15"/>
  <c r="F124" i="16" s="1"/>
  <c r="AZ17" i="15"/>
  <c r="AZ15" i="15"/>
  <c r="AZ13" i="15"/>
  <c r="AZ11" i="15"/>
  <c r="AZ10" i="15"/>
  <c r="AV23" i="15"/>
  <c r="AY22" i="15"/>
  <c r="AX23" i="15"/>
  <c r="AW23" i="15"/>
  <c r="E220" i="13"/>
  <c r="G242" i="15" s="1"/>
  <c r="E112" i="13"/>
  <c r="G134" i="15" s="1"/>
  <c r="AZ14" i="15"/>
  <c r="AZ9" i="15"/>
  <c r="AZ22" i="15" s="1"/>
  <c r="AN23" i="15"/>
  <c r="AP23" i="15"/>
  <c r="AO23" i="15"/>
  <c r="E16" i="13"/>
  <c r="G38" i="15" s="1"/>
  <c r="E184" i="13"/>
  <c r="G206" i="15" s="1"/>
  <c r="E232" i="13"/>
  <c r="G254" i="15" s="1"/>
  <c r="E4" i="13"/>
  <c r="G26" i="15" s="1"/>
  <c r="E88" i="13"/>
  <c r="G110" i="15" s="1"/>
  <c r="E196" i="13"/>
  <c r="G218" i="15" s="1"/>
  <c r="AQ10" i="15"/>
  <c r="AR18" i="15" s="1"/>
  <c r="E175" i="13"/>
  <c r="G197" i="15" s="1"/>
  <c r="H14" i="13"/>
  <c r="H12" i="13"/>
  <c r="H10" i="13"/>
  <c r="H8" i="13"/>
  <c r="H6" i="13"/>
  <c r="L47" i="2" l="1"/>
  <c r="M47" i="2" s="1"/>
  <c r="H47" i="2"/>
  <c r="I47" i="2" s="1"/>
  <c r="E17" i="12" s="1"/>
  <c r="H44" i="2"/>
  <c r="I44" i="2" s="1"/>
  <c r="E14" i="12" s="1"/>
  <c r="L44" i="2"/>
  <c r="M44" i="2" s="1"/>
  <c r="L52" i="2"/>
  <c r="M52" i="2" s="1"/>
  <c r="H52" i="2"/>
  <c r="I52" i="2" s="1"/>
  <c r="E22" i="12" s="1"/>
  <c r="H50" i="2"/>
  <c r="I50" i="2" s="1"/>
  <c r="E20" i="12" s="1"/>
  <c r="L50" i="2"/>
  <c r="M50" i="2" s="1"/>
  <c r="L37" i="2"/>
  <c r="M37" i="2" s="1"/>
  <c r="H37" i="2"/>
  <c r="I37" i="2" s="1"/>
  <c r="E7" i="12" s="1"/>
  <c r="E130" i="13"/>
  <c r="G152" i="15" s="1"/>
  <c r="E154" i="13"/>
  <c r="G176" i="15" s="1"/>
  <c r="E70" i="13"/>
  <c r="G92" i="15" s="1"/>
  <c r="E10" i="13"/>
  <c r="G32" i="15" s="1"/>
  <c r="E118" i="13"/>
  <c r="G140" i="15" s="1"/>
  <c r="E94" i="13"/>
  <c r="G116" i="15" s="1"/>
  <c r="E46" i="13"/>
  <c r="G68" i="15" s="1"/>
  <c r="E106" i="13"/>
  <c r="G128" i="15" s="1"/>
  <c r="E238" i="13"/>
  <c r="G260" i="15" s="1"/>
  <c r="E214" i="13"/>
  <c r="G236" i="15" s="1"/>
  <c r="E34" i="13"/>
  <c r="G56" i="15" s="1"/>
  <c r="E82" i="13"/>
  <c r="G104" i="15" s="1"/>
  <c r="E190" i="13"/>
  <c r="G212" i="15" s="1"/>
  <c r="E202" i="13"/>
  <c r="G224" i="15" s="1"/>
  <c r="E58" i="13"/>
  <c r="G80" i="15" s="1"/>
  <c r="E22" i="13"/>
  <c r="G44" i="15" s="1"/>
  <c r="E166" i="13"/>
  <c r="G188" i="15" s="1"/>
  <c r="E226" i="13"/>
  <c r="G248" i="15" s="1"/>
  <c r="E178" i="13"/>
  <c r="G200" i="15" s="1"/>
  <c r="E14" i="13"/>
  <c r="G36" i="15" s="1"/>
  <c r="E98" i="13"/>
  <c r="G120" i="15" s="1"/>
  <c r="E62" i="13"/>
  <c r="G84" i="15" s="1"/>
  <c r="E182" i="13"/>
  <c r="G204" i="15" s="1"/>
  <c r="E110" i="13"/>
  <c r="G132" i="15" s="1"/>
  <c r="E50" i="13"/>
  <c r="G72" i="15" s="1"/>
  <c r="E170" i="13"/>
  <c r="G192" i="15" s="1"/>
  <c r="E134" i="13"/>
  <c r="G156" i="15" s="1"/>
  <c r="E26" i="13"/>
  <c r="G48" i="15" s="1"/>
  <c r="E74" i="13"/>
  <c r="G96" i="15" s="1"/>
  <c r="E206" i="13"/>
  <c r="G228" i="15" s="1"/>
  <c r="E158" i="13"/>
  <c r="G180" i="15" s="1"/>
  <c r="E242" i="13"/>
  <c r="G264" i="15" s="1"/>
  <c r="E146" i="13"/>
  <c r="G168" i="15" s="1"/>
  <c r="E194" i="13"/>
  <c r="G216" i="15" s="1"/>
  <c r="E122" i="13"/>
  <c r="G144" i="15" s="1"/>
  <c r="E218" i="13"/>
  <c r="G240" i="15" s="1"/>
  <c r="E86" i="13"/>
  <c r="G108" i="15" s="1"/>
  <c r="E230" i="13"/>
  <c r="G252" i="15" s="1"/>
  <c r="E38" i="13"/>
  <c r="G60" i="15" s="1"/>
  <c r="S218" i="15"/>
  <c r="F219" i="16" s="1"/>
  <c r="O218" i="15"/>
  <c r="E219" i="16" s="1"/>
  <c r="D219" i="16"/>
  <c r="O254" i="15"/>
  <c r="E255" i="16" s="1"/>
  <c r="S254" i="15"/>
  <c r="F255" i="16" s="1"/>
  <c r="D255" i="16"/>
  <c r="AR16" i="15"/>
  <c r="E8" i="13"/>
  <c r="G30" i="15" s="1"/>
  <c r="E116" i="13"/>
  <c r="G138" i="15" s="1"/>
  <c r="E20" i="13"/>
  <c r="G42" i="15" s="1"/>
  <c r="E200" i="13"/>
  <c r="G222" i="15" s="1"/>
  <c r="E152" i="13"/>
  <c r="G174" i="15" s="1"/>
  <c r="E164" i="13"/>
  <c r="G186" i="15" s="1"/>
  <c r="E104" i="13"/>
  <c r="G126" i="15" s="1"/>
  <c r="E236" i="13"/>
  <c r="G258" i="15" s="1"/>
  <c r="E188" i="13"/>
  <c r="G210" i="15" s="1"/>
  <c r="E140" i="13"/>
  <c r="G162" i="15" s="1"/>
  <c r="E176" i="13"/>
  <c r="G198" i="15" s="1"/>
  <c r="E80" i="13"/>
  <c r="G102" i="15" s="1"/>
  <c r="E56" i="13"/>
  <c r="G78" i="15" s="1"/>
  <c r="E44" i="13"/>
  <c r="G66" i="15" s="1"/>
  <c r="E92" i="13"/>
  <c r="G114" i="15" s="1"/>
  <c r="E212" i="13"/>
  <c r="G234" i="15" s="1"/>
  <c r="E68" i="13"/>
  <c r="G90" i="15" s="1"/>
  <c r="E224" i="13"/>
  <c r="G246" i="15" s="1"/>
  <c r="E128" i="13"/>
  <c r="G150" i="15" s="1"/>
  <c r="E32" i="13"/>
  <c r="G54" i="15" s="1"/>
  <c r="E96" i="13"/>
  <c r="G118" i="15" s="1"/>
  <c r="E132" i="13"/>
  <c r="G154" i="15" s="1"/>
  <c r="E48" i="13"/>
  <c r="G70" i="15" s="1"/>
  <c r="E180" i="13"/>
  <c r="G202" i="15" s="1"/>
  <c r="E240" i="13"/>
  <c r="G262" i="15" s="1"/>
  <c r="E192" i="13"/>
  <c r="G214" i="15" s="1"/>
  <c r="E228" i="13"/>
  <c r="G250" i="15" s="1"/>
  <c r="E144" i="13"/>
  <c r="G166" i="15" s="1"/>
  <c r="E12" i="13"/>
  <c r="G34" i="15" s="1"/>
  <c r="E168" i="13"/>
  <c r="G190" i="15" s="1"/>
  <c r="E24" i="13"/>
  <c r="G46" i="15" s="1"/>
  <c r="E72" i="13"/>
  <c r="G94" i="15" s="1"/>
  <c r="E60" i="13"/>
  <c r="G82" i="15" s="1"/>
  <c r="E204" i="13"/>
  <c r="G226" i="15" s="1"/>
  <c r="E156" i="13"/>
  <c r="G178" i="15" s="1"/>
  <c r="E120" i="13"/>
  <c r="G142" i="15" s="1"/>
  <c r="E216" i="13"/>
  <c r="G238" i="15" s="1"/>
  <c r="E84" i="13"/>
  <c r="G106" i="15" s="1"/>
  <c r="E36" i="13"/>
  <c r="G58" i="15" s="1"/>
  <c r="O197" i="15"/>
  <c r="E198" i="16" s="1"/>
  <c r="D198" i="16"/>
  <c r="S197" i="15"/>
  <c r="F198" i="16" s="1"/>
  <c r="E108" i="13"/>
  <c r="G130" i="15" s="1"/>
  <c r="S110" i="15"/>
  <c r="F111" i="16" s="1"/>
  <c r="O110" i="15"/>
  <c r="E111" i="16" s="1"/>
  <c r="D111" i="16"/>
  <c r="O26" i="15"/>
  <c r="E27" i="16" s="1"/>
  <c r="S26" i="15"/>
  <c r="F27" i="16" s="1"/>
  <c r="D27" i="16"/>
  <c r="S206" i="15"/>
  <c r="F207" i="16" s="1"/>
  <c r="O206" i="15"/>
  <c r="E207" i="16" s="1"/>
  <c r="D207" i="16"/>
  <c r="AR14" i="15"/>
  <c r="S134" i="15"/>
  <c r="F135" i="16" s="1"/>
  <c r="O134" i="15"/>
  <c r="E135" i="16" s="1"/>
  <c r="D135" i="16"/>
  <c r="S242" i="15"/>
  <c r="F243" i="16" s="1"/>
  <c r="O242" i="15"/>
  <c r="E243" i="16" s="1"/>
  <c r="D243" i="16"/>
  <c r="C124" i="16"/>
  <c r="H124" i="16"/>
  <c r="E6" i="13"/>
  <c r="G28" i="15" s="1"/>
  <c r="E150" i="13"/>
  <c r="G172" i="15" s="1"/>
  <c r="E42" i="13"/>
  <c r="G64" i="15" s="1"/>
  <c r="E102" i="13"/>
  <c r="G124" i="15" s="1"/>
  <c r="E198" i="13"/>
  <c r="G220" i="15" s="1"/>
  <c r="E138" i="13"/>
  <c r="G160" i="15" s="1"/>
  <c r="E90" i="13"/>
  <c r="G112" i="15" s="1"/>
  <c r="E126" i="13"/>
  <c r="G148" i="15" s="1"/>
  <c r="E210" i="13"/>
  <c r="G232" i="15" s="1"/>
  <c r="E162" i="13"/>
  <c r="G184" i="15" s="1"/>
  <c r="E78" i="13"/>
  <c r="G100" i="15" s="1"/>
  <c r="E222" i="13"/>
  <c r="G244" i="15" s="1"/>
  <c r="E174" i="13"/>
  <c r="G196" i="15" s="1"/>
  <c r="E54" i="13"/>
  <c r="G76" i="15" s="1"/>
  <c r="E186" i="13"/>
  <c r="G208" i="15" s="1"/>
  <c r="E234" i="13"/>
  <c r="G256" i="15" s="1"/>
  <c r="E18" i="13"/>
  <c r="G40" i="15" s="1"/>
  <c r="E66" i="13"/>
  <c r="G88" i="15" s="1"/>
  <c r="E114" i="13"/>
  <c r="G136" i="15" s="1"/>
  <c r="E30" i="13"/>
  <c r="G52" i="15" s="1"/>
  <c r="AR9" i="15"/>
  <c r="AR22" i="15" s="1"/>
  <c r="AR19" i="15"/>
  <c r="AR17" i="15"/>
  <c r="AR15" i="15"/>
  <c r="AR13" i="15"/>
  <c r="AR11" i="15"/>
  <c r="AR10" i="15"/>
  <c r="H16" i="13"/>
  <c r="S38" i="15"/>
  <c r="F39" i="16" s="1"/>
  <c r="O38" i="15"/>
  <c r="E39" i="16" s="1"/>
  <c r="D39" i="16"/>
  <c r="AR12" i="15"/>
  <c r="AR20" i="15"/>
  <c r="E142" i="13"/>
  <c r="G164" i="15" s="1"/>
  <c r="H39" i="16" l="1"/>
  <c r="C39" i="16"/>
  <c r="O40" i="15"/>
  <c r="E41" i="16" s="1"/>
  <c r="D41" i="16"/>
  <c r="S40" i="15"/>
  <c r="F41" i="16" s="1"/>
  <c r="O164" i="15"/>
  <c r="E165" i="16" s="1"/>
  <c r="S164" i="15"/>
  <c r="F165" i="16" s="1"/>
  <c r="D165" i="16"/>
  <c r="G39" i="16"/>
  <c r="B39" i="16"/>
  <c r="S52" i="15"/>
  <c r="F53" i="16" s="1"/>
  <c r="D53" i="16"/>
  <c r="O52" i="15"/>
  <c r="E53" i="16" s="1"/>
  <c r="S88" i="15"/>
  <c r="F89" i="16" s="1"/>
  <c r="O88" i="15"/>
  <c r="E89" i="16" s="1"/>
  <c r="D89" i="16"/>
  <c r="S256" i="15"/>
  <c r="F257" i="16" s="1"/>
  <c r="O256" i="15"/>
  <c r="E257" i="16" s="1"/>
  <c r="D257" i="16"/>
  <c r="O76" i="15"/>
  <c r="E77" i="16" s="1"/>
  <c r="S76" i="15"/>
  <c r="F77" i="16" s="1"/>
  <c r="D77" i="16"/>
  <c r="O244" i="15"/>
  <c r="E245" i="16" s="1"/>
  <c r="D245" i="16"/>
  <c r="S244" i="15"/>
  <c r="F245" i="16" s="1"/>
  <c r="D185" i="16"/>
  <c r="S184" i="15"/>
  <c r="F185" i="16" s="1"/>
  <c r="O184" i="15"/>
  <c r="E185" i="16" s="1"/>
  <c r="O148" i="15"/>
  <c r="E149" i="16" s="1"/>
  <c r="D149" i="16"/>
  <c r="S148" i="15"/>
  <c r="F149" i="16" s="1"/>
  <c r="S160" i="15"/>
  <c r="F161" i="16" s="1"/>
  <c r="O160" i="15"/>
  <c r="E161" i="16" s="1"/>
  <c r="D161" i="16"/>
  <c r="S124" i="15"/>
  <c r="F125" i="16" s="1"/>
  <c r="O124" i="15"/>
  <c r="E125" i="16" s="1"/>
  <c r="D125" i="16"/>
  <c r="S172" i="15"/>
  <c r="F173" i="16" s="1"/>
  <c r="O172" i="15"/>
  <c r="E173" i="16" s="1"/>
  <c r="D173" i="16"/>
  <c r="B243" i="16"/>
  <c r="G243" i="16"/>
  <c r="C135" i="16"/>
  <c r="H135" i="16"/>
  <c r="H207" i="16"/>
  <c r="C207" i="16"/>
  <c r="C27" i="16"/>
  <c r="H27" i="16"/>
  <c r="C111" i="16"/>
  <c r="H111" i="16"/>
  <c r="C198" i="16"/>
  <c r="H198" i="16"/>
  <c r="B198" i="16"/>
  <c r="G198" i="16"/>
  <c r="S106" i="15"/>
  <c r="F107" i="16" s="1"/>
  <c r="O106" i="15"/>
  <c r="E107" i="16" s="1"/>
  <c r="D107" i="16"/>
  <c r="S142" i="15"/>
  <c r="F143" i="16" s="1"/>
  <c r="D143" i="16"/>
  <c r="O142" i="15"/>
  <c r="E143" i="16" s="1"/>
  <c r="O226" i="15"/>
  <c r="E227" i="16" s="1"/>
  <c r="D227" i="16"/>
  <c r="S226" i="15"/>
  <c r="F227" i="16" s="1"/>
  <c r="S94" i="15"/>
  <c r="F95" i="16" s="1"/>
  <c r="O94" i="15"/>
  <c r="E95" i="16" s="1"/>
  <c r="D95" i="16"/>
  <c r="O190" i="15"/>
  <c r="E191" i="16" s="1"/>
  <c r="S190" i="15"/>
  <c r="F191" i="16" s="1"/>
  <c r="D191" i="16"/>
  <c r="O166" i="15"/>
  <c r="E167" i="16" s="1"/>
  <c r="S166" i="15"/>
  <c r="F167" i="16" s="1"/>
  <c r="D167" i="16"/>
  <c r="O214" i="15"/>
  <c r="E215" i="16" s="1"/>
  <c r="S214" i="15"/>
  <c r="F215" i="16" s="1"/>
  <c r="D215" i="16"/>
  <c r="D203" i="16"/>
  <c r="O202" i="15"/>
  <c r="E203" i="16" s="1"/>
  <c r="S202" i="15"/>
  <c r="F203" i="16" s="1"/>
  <c r="O154" i="15"/>
  <c r="E155" i="16" s="1"/>
  <c r="S154" i="15"/>
  <c r="F155" i="16" s="1"/>
  <c r="D155" i="16"/>
  <c r="S54" i="15"/>
  <c r="F55" i="16" s="1"/>
  <c r="O54" i="15"/>
  <c r="E55" i="16" s="1"/>
  <c r="D55" i="16"/>
  <c r="S246" i="15"/>
  <c r="F247" i="16" s="1"/>
  <c r="O246" i="15"/>
  <c r="E247" i="16" s="1"/>
  <c r="D247" i="16"/>
  <c r="O234" i="15"/>
  <c r="E235" i="16" s="1"/>
  <c r="S234" i="15"/>
  <c r="F235" i="16" s="1"/>
  <c r="D235" i="16"/>
  <c r="S66" i="15"/>
  <c r="F67" i="16" s="1"/>
  <c r="O66" i="15"/>
  <c r="E67" i="16" s="1"/>
  <c r="D67" i="16"/>
  <c r="S102" i="15"/>
  <c r="F103" i="16" s="1"/>
  <c r="O102" i="15"/>
  <c r="E103" i="16" s="1"/>
  <c r="D103" i="16"/>
  <c r="O162" i="15"/>
  <c r="E163" i="16" s="1"/>
  <c r="D163" i="16"/>
  <c r="S162" i="15"/>
  <c r="F163" i="16" s="1"/>
  <c r="S258" i="15"/>
  <c r="F259" i="16" s="1"/>
  <c r="O258" i="15"/>
  <c r="E259" i="16" s="1"/>
  <c r="D259" i="16"/>
  <c r="D187" i="16"/>
  <c r="S186" i="15"/>
  <c r="F187" i="16" s="1"/>
  <c r="O186" i="15"/>
  <c r="E187" i="16" s="1"/>
  <c r="D223" i="16"/>
  <c r="S222" i="15"/>
  <c r="F223" i="16" s="1"/>
  <c r="O222" i="15"/>
  <c r="E223" i="16" s="1"/>
  <c r="D139" i="16"/>
  <c r="O138" i="15"/>
  <c r="E139" i="16" s="1"/>
  <c r="S138" i="15"/>
  <c r="F139" i="16" s="1"/>
  <c r="H255" i="16"/>
  <c r="C255" i="16"/>
  <c r="C219" i="16"/>
  <c r="H219" i="16"/>
  <c r="S252" i="15"/>
  <c r="F253" i="16" s="1"/>
  <c r="D253" i="16"/>
  <c r="O252" i="15"/>
  <c r="E253" i="16" s="1"/>
  <c r="S240" i="15"/>
  <c r="F241" i="16" s="1"/>
  <c r="O240" i="15"/>
  <c r="E241" i="16" s="1"/>
  <c r="D241" i="16"/>
  <c r="S216" i="15"/>
  <c r="F217" i="16" s="1"/>
  <c r="O216" i="15"/>
  <c r="E217" i="16" s="1"/>
  <c r="D217" i="16"/>
  <c r="D265" i="16"/>
  <c r="O264" i="15"/>
  <c r="E265" i="16" s="1"/>
  <c r="S264" i="15"/>
  <c r="F265" i="16" s="1"/>
  <c r="S228" i="15"/>
  <c r="F229" i="16" s="1"/>
  <c r="O228" i="15"/>
  <c r="E229" i="16" s="1"/>
  <c r="D229" i="16"/>
  <c r="S48" i="15"/>
  <c r="F49" i="16" s="1"/>
  <c r="O48" i="15"/>
  <c r="E49" i="16" s="1"/>
  <c r="D49" i="16"/>
  <c r="D193" i="16"/>
  <c r="S192" i="15"/>
  <c r="F193" i="16" s="1"/>
  <c r="O192" i="15"/>
  <c r="E193" i="16" s="1"/>
  <c r="O132" i="15"/>
  <c r="E133" i="16" s="1"/>
  <c r="D133" i="16"/>
  <c r="S132" i="15"/>
  <c r="F133" i="16" s="1"/>
  <c r="O84" i="15"/>
  <c r="E85" i="16" s="1"/>
  <c r="S84" i="15"/>
  <c r="F85" i="16" s="1"/>
  <c r="D85" i="16"/>
  <c r="S36" i="15"/>
  <c r="F37" i="16" s="1"/>
  <c r="D37" i="16"/>
  <c r="O36" i="15"/>
  <c r="E37" i="16" s="1"/>
  <c r="D249" i="16"/>
  <c r="S248" i="15"/>
  <c r="F249" i="16" s="1"/>
  <c r="O248" i="15"/>
  <c r="E249" i="16" s="1"/>
  <c r="D45" i="16"/>
  <c r="S44" i="15"/>
  <c r="F45" i="16" s="1"/>
  <c r="O44" i="15"/>
  <c r="E45" i="16" s="1"/>
  <c r="O224" i="15"/>
  <c r="E225" i="16" s="1"/>
  <c r="D225" i="16"/>
  <c r="S224" i="15"/>
  <c r="F225" i="16" s="1"/>
  <c r="D105" i="16"/>
  <c r="S104" i="15"/>
  <c r="F105" i="16" s="1"/>
  <c r="O104" i="15"/>
  <c r="E105" i="16" s="1"/>
  <c r="O236" i="15"/>
  <c r="E237" i="16" s="1"/>
  <c r="S236" i="15"/>
  <c r="F237" i="16" s="1"/>
  <c r="D237" i="16"/>
  <c r="O128" i="15"/>
  <c r="E129" i="16" s="1"/>
  <c r="S128" i="15"/>
  <c r="F129" i="16" s="1"/>
  <c r="D129" i="16"/>
  <c r="S116" i="15"/>
  <c r="F117" i="16" s="1"/>
  <c r="O116" i="15"/>
  <c r="E117" i="16" s="1"/>
  <c r="D117" i="16"/>
  <c r="S32" i="15"/>
  <c r="F33" i="16" s="1"/>
  <c r="O32" i="15"/>
  <c r="E33" i="16" s="1"/>
  <c r="D33" i="16"/>
  <c r="S176" i="15"/>
  <c r="F177" i="16" s="1"/>
  <c r="D177" i="16"/>
  <c r="O176" i="15"/>
  <c r="E177" i="16" s="1"/>
  <c r="S136" i="15"/>
  <c r="F137" i="16" s="1"/>
  <c r="D137" i="16"/>
  <c r="O136" i="15"/>
  <c r="E137" i="16" s="1"/>
  <c r="O208" i="15"/>
  <c r="E209" i="16" s="1"/>
  <c r="D209" i="16"/>
  <c r="S208" i="15"/>
  <c r="F209" i="16" s="1"/>
  <c r="S196" i="15"/>
  <c r="F197" i="16" s="1"/>
  <c r="O196" i="15"/>
  <c r="E197" i="16" s="1"/>
  <c r="D197" i="16"/>
  <c r="D101" i="16"/>
  <c r="O100" i="15"/>
  <c r="E101" i="16" s="1"/>
  <c r="S100" i="15"/>
  <c r="F101" i="16" s="1"/>
  <c r="S232" i="15"/>
  <c r="F233" i="16" s="1"/>
  <c r="D233" i="16"/>
  <c r="O232" i="15"/>
  <c r="E233" i="16" s="1"/>
  <c r="D113" i="16"/>
  <c r="O112" i="15"/>
  <c r="E113" i="16" s="1"/>
  <c r="S112" i="15"/>
  <c r="F113" i="16" s="1"/>
  <c r="S220" i="15"/>
  <c r="F221" i="16" s="1"/>
  <c r="O220" i="15"/>
  <c r="E221" i="16" s="1"/>
  <c r="D221" i="16"/>
  <c r="S64" i="15"/>
  <c r="F65" i="16" s="1"/>
  <c r="O64" i="15"/>
  <c r="E65" i="16" s="1"/>
  <c r="D65" i="16"/>
  <c r="S28" i="15"/>
  <c r="F29" i="16" s="1"/>
  <c r="O28" i="15"/>
  <c r="E29" i="16" s="1"/>
  <c r="D29" i="16"/>
  <c r="H243" i="16"/>
  <c r="C243" i="16"/>
  <c r="G135" i="16"/>
  <c r="B135" i="16"/>
  <c r="B207" i="16"/>
  <c r="G207" i="16"/>
  <c r="G27" i="16"/>
  <c r="B27" i="16"/>
  <c r="B111" i="16"/>
  <c r="G111" i="16"/>
  <c r="O130" i="15"/>
  <c r="E131" i="16" s="1"/>
  <c r="S130" i="15"/>
  <c r="F131" i="16" s="1"/>
  <c r="D131" i="16"/>
  <c r="O58" i="15"/>
  <c r="E59" i="16" s="1"/>
  <c r="S58" i="15"/>
  <c r="F59" i="16" s="1"/>
  <c r="D59" i="16"/>
  <c r="S238" i="15"/>
  <c r="F239" i="16" s="1"/>
  <c r="D239" i="16"/>
  <c r="O238" i="15"/>
  <c r="E239" i="16" s="1"/>
  <c r="D179" i="16"/>
  <c r="S178" i="15"/>
  <c r="F179" i="16" s="1"/>
  <c r="O178" i="15"/>
  <c r="E179" i="16" s="1"/>
  <c r="O82" i="15"/>
  <c r="E83" i="16" s="1"/>
  <c r="S82" i="15"/>
  <c r="F83" i="16" s="1"/>
  <c r="D83" i="16"/>
  <c r="D47" i="16"/>
  <c r="S46" i="15"/>
  <c r="F47" i="16" s="1"/>
  <c r="O46" i="15"/>
  <c r="E47" i="16" s="1"/>
  <c r="O34" i="15"/>
  <c r="E35" i="16" s="1"/>
  <c r="D35" i="16"/>
  <c r="S34" i="15"/>
  <c r="F35" i="16" s="1"/>
  <c r="S250" i="15"/>
  <c r="F251" i="16" s="1"/>
  <c r="O250" i="15"/>
  <c r="E251" i="16" s="1"/>
  <c r="D251" i="16"/>
  <c r="S262" i="15"/>
  <c r="F263" i="16" s="1"/>
  <c r="O262" i="15"/>
  <c r="E263" i="16" s="1"/>
  <c r="D263" i="16"/>
  <c r="D71" i="16"/>
  <c r="S70" i="15"/>
  <c r="F71" i="16" s="1"/>
  <c r="O70" i="15"/>
  <c r="E71" i="16" s="1"/>
  <c r="O118" i="15"/>
  <c r="E119" i="16" s="1"/>
  <c r="D119" i="16"/>
  <c r="S118" i="15"/>
  <c r="F119" i="16" s="1"/>
  <c r="O150" i="15"/>
  <c r="E151" i="16" s="1"/>
  <c r="D151" i="16"/>
  <c r="S150" i="15"/>
  <c r="F151" i="16" s="1"/>
  <c r="O90" i="15"/>
  <c r="E91" i="16" s="1"/>
  <c r="D91" i="16"/>
  <c r="S90" i="15"/>
  <c r="F91" i="16" s="1"/>
  <c r="S114" i="15"/>
  <c r="F115" i="16" s="1"/>
  <c r="D115" i="16"/>
  <c r="O114" i="15"/>
  <c r="E115" i="16" s="1"/>
  <c r="S78" i="15"/>
  <c r="F79" i="16" s="1"/>
  <c r="D79" i="16"/>
  <c r="O78" i="15"/>
  <c r="E79" i="16" s="1"/>
  <c r="S198" i="15"/>
  <c r="F199" i="16" s="1"/>
  <c r="D199" i="16"/>
  <c r="O198" i="15"/>
  <c r="E199" i="16" s="1"/>
  <c r="O210" i="15"/>
  <c r="E211" i="16" s="1"/>
  <c r="S210" i="15"/>
  <c r="F211" i="16" s="1"/>
  <c r="D211" i="16"/>
  <c r="O126" i="15"/>
  <c r="E127" i="16" s="1"/>
  <c r="D127" i="16"/>
  <c r="S126" i="15"/>
  <c r="F127" i="16" s="1"/>
  <c r="S174" i="15"/>
  <c r="F175" i="16" s="1"/>
  <c r="O174" i="15"/>
  <c r="E175" i="16" s="1"/>
  <c r="D175" i="16"/>
  <c r="O42" i="15"/>
  <c r="E43" i="16" s="1"/>
  <c r="D43" i="16"/>
  <c r="S42" i="15"/>
  <c r="F43" i="16" s="1"/>
  <c r="S30" i="15"/>
  <c r="F31" i="16" s="1"/>
  <c r="O30" i="15"/>
  <c r="E31" i="16" s="1"/>
  <c r="D31" i="16"/>
  <c r="B255" i="16"/>
  <c r="G255" i="16"/>
  <c r="B219" i="16"/>
  <c r="G219" i="16"/>
  <c r="S60" i="15"/>
  <c r="F61" i="16" s="1"/>
  <c r="O60" i="15"/>
  <c r="E61" i="16" s="1"/>
  <c r="D61" i="16"/>
  <c r="S108" i="15"/>
  <c r="F109" i="16" s="1"/>
  <c r="D109" i="16"/>
  <c r="O108" i="15"/>
  <c r="E109" i="16" s="1"/>
  <c r="D145" i="16"/>
  <c r="O144" i="15"/>
  <c r="E145" i="16" s="1"/>
  <c r="S144" i="15"/>
  <c r="F145" i="16" s="1"/>
  <c r="S168" i="15"/>
  <c r="F169" i="16" s="1"/>
  <c r="O168" i="15"/>
  <c r="E169" i="16" s="1"/>
  <c r="D169" i="16"/>
  <c r="S180" i="15"/>
  <c r="F181" i="16" s="1"/>
  <c r="D181" i="16"/>
  <c r="O180" i="15"/>
  <c r="E181" i="16" s="1"/>
  <c r="O96" i="15"/>
  <c r="E97" i="16" s="1"/>
  <c r="D97" i="16"/>
  <c r="S96" i="15"/>
  <c r="F97" i="16" s="1"/>
  <c r="O156" i="15"/>
  <c r="E157" i="16" s="1"/>
  <c r="S156" i="15"/>
  <c r="F157" i="16" s="1"/>
  <c r="D157" i="16"/>
  <c r="S72" i="15"/>
  <c r="F73" i="16" s="1"/>
  <c r="O72" i="15"/>
  <c r="E73" i="16" s="1"/>
  <c r="D73" i="16"/>
  <c r="O204" i="15"/>
  <c r="E205" i="16" s="1"/>
  <c r="D205" i="16"/>
  <c r="S204" i="15"/>
  <c r="F205" i="16" s="1"/>
  <c r="O120" i="15"/>
  <c r="E121" i="16" s="1"/>
  <c r="D121" i="16"/>
  <c r="S120" i="15"/>
  <c r="F121" i="16" s="1"/>
  <c r="D201" i="16"/>
  <c r="O200" i="15"/>
  <c r="E201" i="16" s="1"/>
  <c r="S200" i="15"/>
  <c r="F201" i="16" s="1"/>
  <c r="O188" i="15"/>
  <c r="E189" i="16" s="1"/>
  <c r="S188" i="15"/>
  <c r="F189" i="16" s="1"/>
  <c r="D189" i="16"/>
  <c r="D81" i="16"/>
  <c r="S80" i="15"/>
  <c r="F81" i="16" s="1"/>
  <c r="O80" i="15"/>
  <c r="E81" i="16" s="1"/>
  <c r="S212" i="15"/>
  <c r="F213" i="16" s="1"/>
  <c r="O212" i="15"/>
  <c r="E213" i="16" s="1"/>
  <c r="D213" i="16"/>
  <c r="D57" i="16"/>
  <c r="S56" i="15"/>
  <c r="F57" i="16" s="1"/>
  <c r="O56" i="15"/>
  <c r="E57" i="16" s="1"/>
  <c r="O260" i="15"/>
  <c r="E261" i="16" s="1"/>
  <c r="S260" i="15"/>
  <c r="F261" i="16" s="1"/>
  <c r="D261" i="16"/>
  <c r="S68" i="15"/>
  <c r="F69" i="16" s="1"/>
  <c r="O68" i="15"/>
  <c r="E69" i="16" s="1"/>
  <c r="D69" i="16"/>
  <c r="O140" i="15"/>
  <c r="E141" i="16" s="1"/>
  <c r="S140" i="15"/>
  <c r="F141" i="16" s="1"/>
  <c r="D141" i="16"/>
  <c r="D93" i="16"/>
  <c r="O92" i="15"/>
  <c r="E93" i="16" s="1"/>
  <c r="S92" i="15"/>
  <c r="F93" i="16" s="1"/>
  <c r="O152" i="15"/>
  <c r="E153" i="16" s="1"/>
  <c r="S152" i="15"/>
  <c r="F153" i="16" s="1"/>
  <c r="D153" i="16"/>
  <c r="C93" i="16" l="1"/>
  <c r="H93" i="16"/>
  <c r="H141" i="16"/>
  <c r="C141" i="16"/>
  <c r="C69" i="16"/>
  <c r="H69" i="16"/>
  <c r="H261" i="16"/>
  <c r="C261" i="16"/>
  <c r="B57" i="16"/>
  <c r="G57" i="16"/>
  <c r="B213" i="16"/>
  <c r="G213" i="16"/>
  <c r="B81" i="16"/>
  <c r="G81" i="16"/>
  <c r="C189" i="16"/>
  <c r="H189" i="16"/>
  <c r="C201" i="16"/>
  <c r="H201" i="16"/>
  <c r="C205" i="16"/>
  <c r="H205" i="16"/>
  <c r="B205" i="16"/>
  <c r="G205" i="16"/>
  <c r="G73" i="16"/>
  <c r="B73" i="16"/>
  <c r="G157" i="16"/>
  <c r="B157" i="16"/>
  <c r="G181" i="16"/>
  <c r="B181" i="16"/>
  <c r="H181" i="16"/>
  <c r="C181" i="16"/>
  <c r="G169" i="16"/>
  <c r="B169" i="16"/>
  <c r="H145" i="16"/>
  <c r="C145" i="16"/>
  <c r="C61" i="16"/>
  <c r="H61" i="16"/>
  <c r="G31" i="16"/>
  <c r="B31" i="16"/>
  <c r="C43" i="16"/>
  <c r="H43" i="16"/>
  <c r="B43" i="16"/>
  <c r="G43" i="16"/>
  <c r="B175" i="16"/>
  <c r="G175" i="16"/>
  <c r="H127" i="16"/>
  <c r="C127" i="16"/>
  <c r="B127" i="16"/>
  <c r="G127" i="16"/>
  <c r="H211" i="16"/>
  <c r="C211" i="16"/>
  <c r="B199" i="16"/>
  <c r="G199" i="16"/>
  <c r="C199" i="16"/>
  <c r="H199" i="16"/>
  <c r="B115" i="16"/>
  <c r="G115" i="16"/>
  <c r="H115" i="16"/>
  <c r="C115" i="16"/>
  <c r="C151" i="16"/>
  <c r="H151" i="16"/>
  <c r="B151" i="16"/>
  <c r="G151" i="16"/>
  <c r="B71" i="16"/>
  <c r="G71" i="16"/>
  <c r="B263" i="16"/>
  <c r="G263" i="16"/>
  <c r="H251" i="16"/>
  <c r="C251" i="16"/>
  <c r="B47" i="16"/>
  <c r="G47" i="16"/>
  <c r="H83" i="16"/>
  <c r="C83" i="16"/>
  <c r="B179" i="16"/>
  <c r="G179" i="16"/>
  <c r="B59" i="16"/>
  <c r="G59" i="16"/>
  <c r="C131" i="16"/>
  <c r="H131" i="16"/>
  <c r="B29" i="16"/>
  <c r="G29" i="16"/>
  <c r="C65" i="16"/>
  <c r="H65" i="16"/>
  <c r="B221" i="16"/>
  <c r="G221" i="16"/>
  <c r="C113" i="16"/>
  <c r="H113" i="16"/>
  <c r="C101" i="16"/>
  <c r="H101" i="16"/>
  <c r="B197" i="16"/>
  <c r="G197" i="16"/>
  <c r="H209" i="16"/>
  <c r="C209" i="16"/>
  <c r="G209" i="16"/>
  <c r="B209" i="16"/>
  <c r="B177" i="16"/>
  <c r="G177" i="16"/>
  <c r="C177" i="16"/>
  <c r="H177" i="16"/>
  <c r="B33" i="16"/>
  <c r="G33" i="16"/>
  <c r="H117" i="16"/>
  <c r="C117" i="16"/>
  <c r="C129" i="16"/>
  <c r="H129" i="16"/>
  <c r="B237" i="16"/>
  <c r="G237" i="16"/>
  <c r="C105" i="16"/>
  <c r="H105" i="16"/>
  <c r="H225" i="16"/>
  <c r="C225" i="16"/>
  <c r="G225" i="16"/>
  <c r="B225" i="16"/>
  <c r="H45" i="16"/>
  <c r="C45" i="16"/>
  <c r="B249" i="16"/>
  <c r="G249" i="16"/>
  <c r="G85" i="16"/>
  <c r="B85" i="16"/>
  <c r="B193" i="16"/>
  <c r="G193" i="16"/>
  <c r="G49" i="16"/>
  <c r="B49" i="16"/>
  <c r="C229" i="16"/>
  <c r="H229" i="16"/>
  <c r="G265" i="16"/>
  <c r="B265" i="16"/>
  <c r="C217" i="16"/>
  <c r="H217" i="16"/>
  <c r="B241" i="16"/>
  <c r="G241" i="16"/>
  <c r="B253" i="16"/>
  <c r="G253" i="16"/>
  <c r="C253" i="16"/>
  <c r="H253" i="16"/>
  <c r="B139" i="16"/>
  <c r="G139" i="16"/>
  <c r="B223" i="16"/>
  <c r="G223" i="16"/>
  <c r="C187" i="16"/>
  <c r="H187" i="16"/>
  <c r="C259" i="16"/>
  <c r="H259" i="16"/>
  <c r="C103" i="16"/>
  <c r="H103" i="16"/>
  <c r="B67" i="16"/>
  <c r="G67" i="16"/>
  <c r="B235" i="16"/>
  <c r="G235" i="16"/>
  <c r="G247" i="16"/>
  <c r="B247" i="16"/>
  <c r="H55" i="16"/>
  <c r="C55" i="16"/>
  <c r="H155" i="16"/>
  <c r="C155" i="16"/>
  <c r="C203" i="16"/>
  <c r="H203" i="16"/>
  <c r="H215" i="16"/>
  <c r="C215" i="16"/>
  <c r="G167" i="16"/>
  <c r="B167" i="16"/>
  <c r="H191" i="16"/>
  <c r="C191" i="16"/>
  <c r="C95" i="16"/>
  <c r="H95" i="16"/>
  <c r="G143" i="16"/>
  <c r="B143" i="16"/>
  <c r="C143" i="16"/>
  <c r="H143" i="16"/>
  <c r="B107" i="16"/>
  <c r="G107" i="16"/>
  <c r="H173" i="16"/>
  <c r="C173" i="16"/>
  <c r="B125" i="16"/>
  <c r="G125" i="16"/>
  <c r="C161" i="16"/>
  <c r="H161" i="16"/>
  <c r="B185" i="16"/>
  <c r="G185" i="16"/>
  <c r="B77" i="16"/>
  <c r="G77" i="16"/>
  <c r="B257" i="16"/>
  <c r="G257" i="16"/>
  <c r="H89" i="16"/>
  <c r="C89" i="16"/>
  <c r="G165" i="16"/>
  <c r="B165" i="16"/>
  <c r="C153" i="16"/>
  <c r="H153" i="16"/>
  <c r="B153" i="16"/>
  <c r="G153" i="16"/>
  <c r="B93" i="16"/>
  <c r="G93" i="16"/>
  <c r="G141" i="16"/>
  <c r="B141" i="16"/>
  <c r="G69" i="16"/>
  <c r="B69" i="16"/>
  <c r="G261" i="16"/>
  <c r="B261" i="16"/>
  <c r="C57" i="16"/>
  <c r="H57" i="16"/>
  <c r="C213" i="16"/>
  <c r="H213" i="16"/>
  <c r="E52" i="2" s="1"/>
  <c r="C81" i="16"/>
  <c r="H81" i="16"/>
  <c r="G189" i="16"/>
  <c r="B189" i="16"/>
  <c r="B201" i="16"/>
  <c r="G201" i="16"/>
  <c r="C121" i="16"/>
  <c r="H121" i="16"/>
  <c r="G121" i="16"/>
  <c r="B121" i="16"/>
  <c r="C73" i="16"/>
  <c r="H73" i="16"/>
  <c r="H157" i="16"/>
  <c r="C157" i="16"/>
  <c r="C97" i="16"/>
  <c r="H97" i="16"/>
  <c r="B97" i="16"/>
  <c r="G97" i="16"/>
  <c r="C169" i="16"/>
  <c r="H169" i="16"/>
  <c r="G145" i="16"/>
  <c r="B145" i="16"/>
  <c r="G109" i="16"/>
  <c r="B109" i="16"/>
  <c r="C109" i="16"/>
  <c r="H109" i="16"/>
  <c r="B61" i="16"/>
  <c r="G61" i="16"/>
  <c r="C31" i="16"/>
  <c r="H31" i="16"/>
  <c r="H175" i="16"/>
  <c r="C175" i="16"/>
  <c r="B211" i="16"/>
  <c r="G211" i="16"/>
  <c r="B79" i="16"/>
  <c r="G79" i="16"/>
  <c r="H79" i="16"/>
  <c r="C79" i="16"/>
  <c r="H91" i="16"/>
  <c r="C91" i="16"/>
  <c r="B91" i="16"/>
  <c r="G91" i="16"/>
  <c r="C119" i="16"/>
  <c r="H119" i="16"/>
  <c r="E44" i="2" s="1"/>
  <c r="B119" i="16"/>
  <c r="G119" i="16"/>
  <c r="H71" i="16"/>
  <c r="C71" i="16"/>
  <c r="C263" i="16"/>
  <c r="H263" i="16"/>
  <c r="G251" i="16"/>
  <c r="B251" i="16"/>
  <c r="C35" i="16"/>
  <c r="H35" i="16"/>
  <c r="G35" i="16"/>
  <c r="B35" i="16"/>
  <c r="H47" i="16"/>
  <c r="C47" i="16"/>
  <c r="G83" i="16"/>
  <c r="B83" i="16"/>
  <c r="C179" i="16"/>
  <c r="H179" i="16"/>
  <c r="G239" i="16"/>
  <c r="B239" i="16"/>
  <c r="C239" i="16"/>
  <c r="H239" i="16"/>
  <c r="C59" i="16"/>
  <c r="H59" i="16"/>
  <c r="G131" i="16"/>
  <c r="B131" i="16"/>
  <c r="H29" i="16"/>
  <c r="C29" i="16"/>
  <c r="B65" i="16"/>
  <c r="G65" i="16"/>
  <c r="C221" i="16"/>
  <c r="H221" i="16"/>
  <c r="B113" i="16"/>
  <c r="G113" i="16"/>
  <c r="G233" i="16"/>
  <c r="B233" i="16"/>
  <c r="C233" i="16"/>
  <c r="H233" i="16"/>
  <c r="G101" i="16"/>
  <c r="B101" i="16"/>
  <c r="C197" i="16"/>
  <c r="H197" i="16"/>
  <c r="B137" i="16"/>
  <c r="G137" i="16"/>
  <c r="H137" i="16"/>
  <c r="C137" i="16"/>
  <c r="C33" i="16"/>
  <c r="H33" i="16"/>
  <c r="B117" i="16"/>
  <c r="G117" i="16"/>
  <c r="G129" i="16"/>
  <c r="B129" i="16"/>
  <c r="C237" i="16"/>
  <c r="H237" i="16"/>
  <c r="B105" i="16"/>
  <c r="G105" i="16"/>
  <c r="B45" i="16"/>
  <c r="G45" i="16"/>
  <c r="H249" i="16"/>
  <c r="C249" i="16"/>
  <c r="G37" i="16"/>
  <c r="B37" i="16"/>
  <c r="C37" i="16"/>
  <c r="H37" i="16"/>
  <c r="H85" i="16"/>
  <c r="C85" i="16"/>
  <c r="H133" i="16"/>
  <c r="C133" i="16"/>
  <c r="G133" i="16"/>
  <c r="B133" i="16"/>
  <c r="H193" i="16"/>
  <c r="C193" i="16"/>
  <c r="C49" i="16"/>
  <c r="H49" i="16"/>
  <c r="G229" i="16"/>
  <c r="B229" i="16"/>
  <c r="C265" i="16"/>
  <c r="H265" i="16"/>
  <c r="B217" i="16"/>
  <c r="G217" i="16"/>
  <c r="C241" i="16"/>
  <c r="H241" i="16"/>
  <c r="H139" i="16"/>
  <c r="C139" i="16"/>
  <c r="H223" i="16"/>
  <c r="C223" i="16"/>
  <c r="B187" i="16"/>
  <c r="G187" i="16"/>
  <c r="G259" i="16"/>
  <c r="B259" i="16"/>
  <c r="C163" i="16"/>
  <c r="H163" i="16"/>
  <c r="B163" i="16"/>
  <c r="G163" i="16"/>
  <c r="G103" i="16"/>
  <c r="B103" i="16"/>
  <c r="C67" i="16"/>
  <c r="H67" i="16"/>
  <c r="C235" i="16"/>
  <c r="H235" i="16"/>
  <c r="C247" i="16"/>
  <c r="H247" i="16"/>
  <c r="G55" i="16"/>
  <c r="B55" i="16"/>
  <c r="B155" i="16"/>
  <c r="G155" i="16"/>
  <c r="B203" i="16"/>
  <c r="G203" i="16"/>
  <c r="B215" i="16"/>
  <c r="G215" i="16"/>
  <c r="H167" i="16"/>
  <c r="C167" i="16"/>
  <c r="B191" i="16"/>
  <c r="G191" i="16"/>
  <c r="G95" i="16"/>
  <c r="B95" i="16"/>
  <c r="H227" i="16"/>
  <c r="C227" i="16"/>
  <c r="G227" i="16"/>
  <c r="B227" i="16"/>
  <c r="C107" i="16"/>
  <c r="H107" i="16"/>
  <c r="G173" i="16"/>
  <c r="B173" i="16"/>
  <c r="H125" i="16"/>
  <c r="C125" i="16"/>
  <c r="G161" i="16"/>
  <c r="D48" i="2" s="1"/>
  <c r="B161" i="16"/>
  <c r="C149" i="16"/>
  <c r="H149" i="16"/>
  <c r="G149" i="16"/>
  <c r="B149" i="16"/>
  <c r="H185" i="16"/>
  <c r="C185" i="16"/>
  <c r="H245" i="16"/>
  <c r="C245" i="16"/>
  <c r="G245" i="16"/>
  <c r="B245" i="16"/>
  <c r="C77" i="16"/>
  <c r="H77" i="16"/>
  <c r="C257" i="16"/>
  <c r="H257" i="16"/>
  <c r="G89" i="16"/>
  <c r="B89" i="16"/>
  <c r="B53" i="16"/>
  <c r="G53" i="16"/>
  <c r="C53" i="16"/>
  <c r="H53" i="16"/>
  <c r="H165" i="16"/>
  <c r="C165" i="16"/>
  <c r="H41" i="16"/>
  <c r="E38" i="2" s="1"/>
  <c r="C41" i="16"/>
  <c r="G41" i="16"/>
  <c r="B41" i="16"/>
  <c r="E47" i="2" l="1"/>
  <c r="D39" i="2"/>
  <c r="F39" i="2" s="1"/>
  <c r="D9" i="12" s="1"/>
  <c r="H9" i="12" s="1"/>
  <c r="I9" i="12" s="1"/>
  <c r="B8" i="2" s="1"/>
  <c r="E37" i="2"/>
  <c r="D52" i="2"/>
  <c r="D37" i="2"/>
  <c r="E56" i="2"/>
  <c r="D53" i="2"/>
  <c r="D38" i="2"/>
  <c r="F38" i="2" s="1"/>
  <c r="D8" i="12" s="1"/>
  <c r="H8" i="12" s="1"/>
  <c r="I8" i="12" s="1"/>
  <c r="B7" i="2" s="1"/>
  <c r="E39" i="2"/>
  <c r="E41" i="2"/>
  <c r="D56" i="2"/>
  <c r="E46" i="2"/>
  <c r="E53" i="2"/>
  <c r="F52" i="2"/>
  <c r="D22" i="12" s="1"/>
  <c r="H22" i="12" s="1"/>
  <c r="I22" i="12" s="1"/>
  <c r="B21" i="2" s="1"/>
  <c r="D55" i="2"/>
  <c r="E55" i="2"/>
  <c r="E50" i="2"/>
  <c r="D47" i="2"/>
  <c r="E45" i="2"/>
  <c r="D49" i="2"/>
  <c r="D46" i="2"/>
  <c r="F46" i="2" s="1"/>
  <c r="D16" i="12" s="1"/>
  <c r="H16" i="12" s="1"/>
  <c r="I16" i="12" s="1"/>
  <c r="B15" i="2" s="1"/>
  <c r="E51" i="2"/>
  <c r="D44" i="2"/>
  <c r="F44" i="2" s="1"/>
  <c r="D14" i="12" s="1"/>
  <c r="H14" i="12" s="1"/>
  <c r="I14" i="12" s="1"/>
  <c r="B13" i="2" s="1"/>
  <c r="D40" i="2"/>
  <c r="F56" i="2"/>
  <c r="D26" i="12" s="1"/>
  <c r="H26" i="12" s="1"/>
  <c r="I26" i="12" s="1"/>
  <c r="B25" i="2" s="1"/>
  <c r="E54" i="2"/>
  <c r="E42" i="2"/>
  <c r="E49" i="2"/>
  <c r="F49" i="2" s="1"/>
  <c r="D19" i="12" s="1"/>
  <c r="H19" i="12" s="1"/>
  <c r="I19" i="12" s="1"/>
  <c r="B18" i="2" s="1"/>
  <c r="D51" i="2"/>
  <c r="E43" i="2"/>
  <c r="E40" i="2"/>
  <c r="F40" i="2" s="1"/>
  <c r="D10" i="12" s="1"/>
  <c r="H10" i="12" s="1"/>
  <c r="I10" i="12" s="1"/>
  <c r="B9" i="2" s="1"/>
  <c r="D42" i="2"/>
  <c r="D43" i="2"/>
  <c r="D54" i="2"/>
  <c r="F54" i="2" s="1"/>
  <c r="D24" i="12" s="1"/>
  <c r="H24" i="12" s="1"/>
  <c r="I24" i="12" s="1"/>
  <c r="B23" i="2" s="1"/>
  <c r="D41" i="2"/>
  <c r="D50" i="2"/>
  <c r="E48" i="2"/>
  <c r="F48" i="2" s="1"/>
  <c r="D18" i="12" s="1"/>
  <c r="H18" i="12" s="1"/>
  <c r="I18" i="12" s="1"/>
  <c r="B17" i="2" s="1"/>
  <c r="D45" i="2"/>
  <c r="F45" i="2" s="1"/>
  <c r="D15" i="12" s="1"/>
  <c r="H15" i="12" s="1"/>
  <c r="I15" i="12" s="1"/>
  <c r="B14" i="2" s="1"/>
  <c r="F47" i="2" l="1"/>
  <c r="D17" i="12" s="1"/>
  <c r="H17" i="12" s="1"/>
  <c r="I17" i="12" s="1"/>
  <c r="B16" i="2" s="1"/>
  <c r="F37" i="2"/>
  <c r="D7" i="12" s="1"/>
  <c r="H7" i="12" s="1"/>
  <c r="I7" i="12" s="1"/>
  <c r="B6" i="2" s="1"/>
  <c r="F50" i="2"/>
  <c r="D20" i="12" s="1"/>
  <c r="H20" i="12" s="1"/>
  <c r="I20" i="12" s="1"/>
  <c r="B19" i="2" s="1"/>
  <c r="F53" i="2"/>
  <c r="D23" i="12" s="1"/>
  <c r="H23" i="12" s="1"/>
  <c r="I23" i="12" s="1"/>
  <c r="B22" i="2" s="1"/>
  <c r="F41" i="2"/>
  <c r="D11" i="12" s="1"/>
  <c r="H11" i="12" s="1"/>
  <c r="I11" i="12" s="1"/>
  <c r="B10" i="2" s="1"/>
  <c r="F51" i="2"/>
  <c r="D21" i="12" s="1"/>
  <c r="H21" i="12" s="1"/>
  <c r="I21" i="12" s="1"/>
  <c r="B20" i="2" s="1"/>
  <c r="F55" i="2"/>
  <c r="D25" i="12" s="1"/>
  <c r="H25" i="12" s="1"/>
  <c r="I25" i="12" s="1"/>
  <c r="B24" i="2" s="1"/>
  <c r="F42" i="2"/>
  <c r="D12" i="12" s="1"/>
  <c r="H12" i="12" s="1"/>
  <c r="I12" i="12" s="1"/>
  <c r="B11" i="2" s="1"/>
  <c r="F43" i="2"/>
  <c r="D13" i="12" s="1"/>
  <c r="H13" i="12" s="1"/>
  <c r="I13" i="12" s="1"/>
  <c r="B12" i="2" s="1"/>
  <c r="D26" i="2" l="1"/>
  <c r="K12" i="17" s="1"/>
  <c r="B26" i="2"/>
</calcChain>
</file>

<file path=xl/comments1.xml><?xml version="1.0" encoding="utf-8"?>
<comments xmlns="http://schemas.openxmlformats.org/spreadsheetml/2006/main">
  <authors>
    <author>steve kern</author>
  </authors>
  <commentList>
    <comment ref="I11" authorId="0">
      <text>
        <r>
          <rPr>
            <sz val="8"/>
            <color indexed="81"/>
            <rFont val="Tahoma"/>
          </rPr>
          <t xml:space="preserve">FORWARD MARKET PRICE FOR SAME DAY AS NYMEX (SOURCE VARIES)
</t>
        </r>
      </text>
    </comment>
  </commentList>
</comments>
</file>

<file path=xl/sharedStrings.xml><?xml version="1.0" encoding="utf-8"?>
<sst xmlns="http://schemas.openxmlformats.org/spreadsheetml/2006/main" count="510" uniqueCount="188">
  <si>
    <t>Year</t>
  </si>
  <si>
    <t>MWh</t>
  </si>
  <si>
    <t>Estimate Cost</t>
  </si>
  <si>
    <t>Oak Tree Estimated Annual Production</t>
  </si>
  <si>
    <t xml:space="preserve">Customer Impact </t>
  </si>
  <si>
    <t>NW Incremental Cost vs. Oak Tree Offer</t>
  </si>
  <si>
    <t>Hours per year</t>
  </si>
  <si>
    <t>Average</t>
  </si>
  <si>
    <t>Purchases</t>
  </si>
  <si>
    <t>Generation</t>
  </si>
  <si>
    <t>Annual</t>
  </si>
  <si>
    <t>Load Duration Curve</t>
  </si>
  <si>
    <t>INPUT</t>
  </si>
  <si>
    <t>LONG TERM PROJECTION</t>
  </si>
  <si>
    <t>DEL</t>
  </si>
  <si>
    <t>NW NAT GAS</t>
  </si>
  <si>
    <t>HLH PRICE</t>
  </si>
  <si>
    <t>LLH PRICE</t>
  </si>
  <si>
    <t>Y/Y Change</t>
  </si>
  <si>
    <t>NorthWestern</t>
  </si>
  <si>
    <t>Estimated Load</t>
  </si>
  <si>
    <t>Duration Curve</t>
  </si>
  <si>
    <t>Purchase Cost</t>
  </si>
  <si>
    <t>Forecasted Ave. Market</t>
  </si>
  <si>
    <t>HL</t>
  </si>
  <si>
    <t>LL</t>
  </si>
  <si>
    <t>% Market Purchase</t>
  </si>
  <si>
    <t>% split hours/year</t>
  </si>
  <si>
    <t>ESTIMATE</t>
  </si>
  <si>
    <t>Mth-Year</t>
  </si>
  <si>
    <t>Spot Market</t>
  </si>
  <si>
    <t>Coal Var</t>
  </si>
  <si>
    <t>Cost</t>
  </si>
  <si>
    <t>%coal</t>
  </si>
  <si>
    <t>Ave Rate</t>
  </si>
  <si>
    <t>Wtd Average</t>
  </si>
  <si>
    <t>Coal Variable</t>
  </si>
  <si>
    <t>b4 GHG</t>
  </si>
  <si>
    <t>Inflation</t>
  </si>
  <si>
    <t>Coal carbon</t>
  </si>
  <si>
    <t>Adder</t>
  </si>
  <si>
    <t>Carbon</t>
  </si>
  <si>
    <t>Ton CO2 per MWh</t>
  </si>
  <si>
    <t>Total Coal Var</t>
  </si>
  <si>
    <t>$/MWh</t>
  </si>
  <si>
    <t>Reference</t>
  </si>
  <si>
    <t>Monthly</t>
  </si>
  <si>
    <t>Monthly Shaping from</t>
  </si>
  <si>
    <t>Nominal</t>
  </si>
  <si>
    <t>Steve Lewis worksheet</t>
  </si>
  <si>
    <t>Avg</t>
  </si>
  <si>
    <t>Lands Energy Consulting</t>
    <phoneticPr fontId="5" type="noConversion"/>
  </si>
  <si>
    <t>Adjustment to Market Prices based on Carbon Tax Levels</t>
  </si>
  <si>
    <t>DROP DOWN TO SELECT THE ONE USED</t>
    <phoneticPr fontId="5" type="noConversion"/>
  </si>
  <si>
    <t>Suggested</t>
    <phoneticPr fontId="5" type="noConversion"/>
  </si>
  <si>
    <t>Generic Market - Carbon Tax/Adder</t>
  </si>
  <si>
    <t>LEC Forecast</t>
  </si>
  <si>
    <t>Low</t>
  </si>
  <si>
    <t>Medium</t>
  </si>
  <si>
    <t>High</t>
  </si>
  <si>
    <t>($/ton)</t>
  </si>
  <si>
    <t>($/mwh)</t>
  </si>
  <si>
    <t>($/ton)</t>
    <phoneticPr fontId="5" type="noConversion"/>
  </si>
  <si>
    <t>Lands Energy Consulting</t>
    <phoneticPr fontId="2" type="noConversion"/>
  </si>
  <si>
    <t>Detailed Monthly Projections through Sep 2015</t>
  </si>
  <si>
    <t>Gas Price</t>
  </si>
  <si>
    <t>On Pk</t>
  </si>
  <si>
    <t xml:space="preserve">Off Pk </t>
  </si>
  <si>
    <t>Blue values are input, black calculated</t>
    <phoneticPr fontId="2" type="noConversion"/>
  </si>
  <si>
    <t>Prices</t>
  </si>
  <si>
    <t>B4 Carbon</t>
  </si>
  <si>
    <t>NWE-AECO BASIS</t>
    <phoneticPr fontId="2" type="noConversion"/>
  </si>
  <si>
    <t>SD HEAVY LOAD HOUR PRICE SUMMARY</t>
  </si>
  <si>
    <t>SD LIGHT LOAD HOUR PRICE SUMMARY</t>
  </si>
  <si>
    <t>ESTIMATE</t>
    <phoneticPr fontId="2" type="noConversion"/>
  </si>
  <si>
    <t>MTH</t>
  </si>
  <si>
    <t>2011-12</t>
  </si>
  <si>
    <t>2012-13</t>
  </si>
  <si>
    <t>2013-14</t>
  </si>
  <si>
    <t>2014-15</t>
  </si>
  <si>
    <t>AVE</t>
  </si>
  <si>
    <t>SHAPE</t>
  </si>
  <si>
    <t>NGX</t>
    <phoneticPr fontId="2" type="noConversion"/>
  </si>
  <si>
    <t>SYS DEL</t>
  </si>
  <si>
    <t>SD OnPeak</t>
  </si>
  <si>
    <t>SD OffPeak</t>
  </si>
  <si>
    <t>IMPLIED</t>
  </si>
  <si>
    <t>CIN OnPk</t>
  </si>
  <si>
    <t>CIN OffPk</t>
  </si>
  <si>
    <t>AECO LAST</t>
    <phoneticPr fontId="2" type="noConversion"/>
  </si>
  <si>
    <t>GAS PRICE</t>
  </si>
  <si>
    <t>LD PRICE</t>
  </si>
  <si>
    <t>HL Heat Rt</t>
  </si>
  <si>
    <t>LL Heat Rt</t>
  </si>
  <si>
    <t>Use forward strips for 2012 to develop monthly Market Heat Rates for HLH and LLH for future years</t>
  </si>
  <si>
    <t>For years 2013 - 2034 use the forecast monthly gas prices and the monthly market heat rates for on peak and off peak periods to forecast prices</t>
  </si>
  <si>
    <t>Calc Implied MHR</t>
  </si>
  <si>
    <t>ave</t>
  </si>
  <si>
    <t>est.esc.</t>
  </si>
  <si>
    <t>Forecast</t>
  </si>
  <si>
    <t>NO CARBON</t>
    <phoneticPr fontId="2" type="noConversion"/>
  </si>
  <si>
    <t>WITH CARBON</t>
    <phoneticPr fontId="2" type="noConversion"/>
  </si>
  <si>
    <t>Estimate</t>
  </si>
  <si>
    <t>MHR</t>
  </si>
  <si>
    <t>Carbon Intensity 7000 HR  Combined Cycle</t>
  </si>
  <si>
    <t>Carbon Intensity Coal Plant</t>
  </si>
  <si>
    <t>Tons/MWh</t>
  </si>
  <si>
    <t xml:space="preserve">Use Carbon?   </t>
  </si>
  <si>
    <t>Yes</t>
  </si>
  <si>
    <t>No</t>
  </si>
  <si>
    <t>GasPrice</t>
  </si>
  <si>
    <t>$/MMBtu</t>
  </si>
  <si>
    <t>Delivered</t>
  </si>
  <si>
    <t>Price</t>
  </si>
  <si>
    <t>$/Ton</t>
  </si>
  <si>
    <t>Carbon Intensity…7000 HR Combined Cycle Combustion turbine</t>
  </si>
  <si>
    <t>Carbon Intensity…Coal Plant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</si>
  <si>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</si>
  <si>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</si>
  <si>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</si>
  <si>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</si>
  <si>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</si>
  <si>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</si>
  <si>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</si>
  <si>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</si>
  <si>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</si>
  <si>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</si>
  <si>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</si>
  <si>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</si>
  <si>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Equals</t>
  </si>
  <si>
    <t>Year Levelized Avoided Cost</t>
  </si>
  <si>
    <t xml:space="preserve">% from </t>
  </si>
  <si>
    <t>Market</t>
  </si>
  <si>
    <t>"1=yes"</t>
  </si>
  <si>
    <t>Other=no</t>
  </si>
  <si>
    <t>HLH</t>
  </si>
  <si>
    <t>LLH</t>
  </si>
  <si>
    <t>Resultant 20 year levelized energy avoided cost (before capacity and REC value)</t>
  </si>
  <si>
    <t>OtterTail</t>
  </si>
  <si>
    <t>Candidate Gas Prices $/MMBtu</t>
  </si>
  <si>
    <t>Nominal $</t>
  </si>
  <si>
    <t>Gas</t>
  </si>
  <si>
    <t>Proposed Levelized Avoided Energy Cost</t>
  </si>
  <si>
    <t>Gas Variable</t>
  </si>
  <si>
    <t>Gas carbon</t>
  </si>
  <si>
    <t>Total Gas Var</t>
  </si>
  <si>
    <t>HR NWE Gas</t>
  </si>
  <si>
    <t>VOM</t>
  </si>
  <si>
    <t>or</t>
  </si>
  <si>
    <t>Use Incremental cost gas rather than Market in hours above coal</t>
  </si>
  <si>
    <t>2=yes</t>
  </si>
  <si>
    <t>or % Gas Incr Cost</t>
  </si>
  <si>
    <t>Gas Incr Cost</t>
  </si>
  <si>
    <t xml:space="preserve"> or GT</t>
  </si>
  <si>
    <t>Reference Case</t>
  </si>
  <si>
    <t>High Growth</t>
  </si>
  <si>
    <t>Low Technology</t>
  </si>
  <si>
    <t>Hi Renew Cost</t>
  </si>
  <si>
    <t>No Shale</t>
  </si>
  <si>
    <t>EarlyRelease</t>
  </si>
  <si>
    <t>Additional Oper Cost Envir Law</t>
  </si>
  <si>
    <t xml:space="preserve"> (Otter Tail filing Attachment 3, report page 16)</t>
  </si>
  <si>
    <t>2010 dollars</t>
  </si>
  <si>
    <t>Levelized Avoided Energy Cost $/MWh</t>
  </si>
  <si>
    <t>Otter Tail</t>
  </si>
  <si>
    <t>Big Stone</t>
  </si>
  <si>
    <t>Capacity Avoided Cost</t>
  </si>
  <si>
    <t>Capital Cost Aberdeen GT</t>
  </si>
  <si>
    <t>MW Aberdeen GT</t>
  </si>
  <si>
    <t>$/MW</t>
  </si>
  <si>
    <t>LFCR GT</t>
  </si>
  <si>
    <t>GT $/MW/yr</t>
  </si>
  <si>
    <t>paid per year to Oak Tree</t>
  </si>
  <si>
    <t>REC value</t>
  </si>
  <si>
    <t>Either $7.5/MWh additional or Oak Tree keeps the RECs</t>
  </si>
  <si>
    <t>Energy</t>
  </si>
  <si>
    <t>REC</t>
  </si>
  <si>
    <t>Capacity</t>
  </si>
  <si>
    <t>Divide by Oak Tree Energy</t>
  </si>
  <si>
    <t>.2*19.5 MW capacity</t>
  </si>
  <si>
    <t>Oak Tree</t>
  </si>
  <si>
    <t>Total Avoided Cost</t>
  </si>
  <si>
    <t>MHR method</t>
  </si>
  <si>
    <t>Direct</t>
  </si>
  <si>
    <t>CCCT</t>
  </si>
  <si>
    <t>Spion Kop</t>
  </si>
  <si>
    <t>Ref Case</t>
  </si>
  <si>
    <t>Low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</si>
</sst>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"/>
    <numFmt numFmtId="168" formatCode="0.0000%"/>
    <numFmt numFmtId="169" formatCode="0.0"/>
    <numFmt numFmtId="170" formatCode="0.000000000000000"/>
    <numFmt numFmtId="171" formatCode="0.0%"/>
    <numFmt numFmtId="172" formatCode="_(* #,##0.00000_);_(* \(#,##0.00000\);_(* &quot;-&quot;??_);_(@_)"/>
    <numFmt numFmtId="173" formatCode="_(&quot;$&quot;* #,##0.000_);_(&quot;$&quot;* \(#,##0.000\);_(&quot;$&quot;* &quot;-&quot;??_);_(@_)"/>
    <numFmt numFmtId="174" formatCode="0.000"/>
  </numFmts>
  <fonts count="2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</font>
    <font>
      <b/>
      <sz val="10"/>
      <name val="Arial"/>
    </font>
    <font>
      <sz val="10"/>
      <color indexed="48"/>
      <name val="Arial"/>
    </font>
    <font>
      <b/>
      <u/>
      <sz val="10"/>
      <name val="Arial"/>
    </font>
    <font>
      <sz val="10"/>
      <color indexed="8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2"/>
      <name val="Times New Roman"/>
    </font>
    <font>
      <sz val="10"/>
      <name val="Verdana"/>
    </font>
    <font>
      <b/>
      <sz val="12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2"/>
      <name val="Arial"/>
      <family val="2"/>
    </font>
    <font>
      <u/>
      <sz val="10"/>
      <color indexed="12"/>
      <name val="Arial"/>
    </font>
    <font>
      <b/>
      <sz val="10"/>
      <name val="Arial"/>
      <family val="2"/>
    </font>
    <font>
      <sz val="8"/>
      <color indexed="81"/>
      <name val="Tahoma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12" fillId="0" borderId="0"/>
    <xf numFmtId="0" fontId="13" fillId="0" borderId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65">
    <xf numFmtId="0" fontId="0" fillId="0" borderId="0" xfId="0"/>
    <xf numFmtId="164" fontId="0" fillId="0" borderId="0" xfId="0" applyNumberFormat="1"/>
    <xf numFmtId="44" fontId="21" fillId="0" borderId="0" xfId="3" applyFont="1"/>
    <xf numFmtId="165" fontId="21" fillId="0" borderId="0" xfId="1" applyNumberFormat="1" applyFont="1"/>
    <xf numFmtId="166" fontId="0" fillId="0" borderId="0" xfId="0" applyNumberFormat="1"/>
    <xf numFmtId="166" fontId="21" fillId="0" borderId="0" xfId="3" applyNumberFormat="1" applyFont="1"/>
    <xf numFmtId="0" fontId="22" fillId="0" borderId="0" xfId="0" applyFont="1"/>
    <xf numFmtId="165" fontId="0" fillId="0" borderId="0" xfId="0" applyNumberFormat="1"/>
    <xf numFmtId="9" fontId="21" fillId="0" borderId="0" xfId="11" applyFont="1"/>
    <xf numFmtId="168" fontId="6" fillId="0" borderId="0" xfId="12" applyNumberFormat="1" applyFont="1"/>
    <xf numFmtId="9" fontId="21" fillId="0" borderId="0" xfId="12" applyFont="1" applyFill="1"/>
    <xf numFmtId="166" fontId="21" fillId="0" borderId="0" xfId="4" applyNumberFormat="1" applyFont="1" applyBorder="1"/>
    <xf numFmtId="0" fontId="0" fillId="0" borderId="0" xfId="0" applyBorder="1"/>
    <xf numFmtId="9" fontId="21" fillId="0" borderId="0" xfId="11" applyFont="1" applyBorder="1"/>
    <xf numFmtId="9" fontId="0" fillId="0" borderId="0" xfId="0" applyNumberFormat="1" applyBorder="1"/>
    <xf numFmtId="44" fontId="21" fillId="0" borderId="0" xfId="3" applyFont="1" applyBorder="1"/>
    <xf numFmtId="9" fontId="21" fillId="0" borderId="0" xfId="11" applyFont="1" applyBorder="1" applyAlignment="1">
      <alignment horizontal="center"/>
    </xf>
    <xf numFmtId="10" fontId="21" fillId="0" borderId="0" xfId="11" applyNumberFormat="1" applyFont="1" applyBorder="1" applyAlignment="1">
      <alignment horizontal="center"/>
    </xf>
    <xf numFmtId="8" fontId="0" fillId="0" borderId="0" xfId="0" applyNumberForma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5" fontId="21" fillId="0" borderId="7" xfId="1" applyNumberFormat="1" applyFont="1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2" fontId="0" fillId="0" borderId="0" xfId="0" applyNumberFormat="1"/>
    <xf numFmtId="165" fontId="21" fillId="0" borderId="0" xfId="1" applyNumberFormat="1" applyFont="1" applyBorder="1"/>
    <xf numFmtId="164" fontId="0" fillId="0" borderId="0" xfId="0" applyNumberFormat="1" applyBorder="1"/>
    <xf numFmtId="0" fontId="0" fillId="0" borderId="0" xfId="0" applyFill="1" applyBorder="1"/>
    <xf numFmtId="171" fontId="21" fillId="0" borderId="0" xfId="11" applyNumberFormat="1" applyFont="1"/>
    <xf numFmtId="2" fontId="21" fillId="0" borderId="0" xfId="11" applyNumberFormat="1" applyFont="1"/>
    <xf numFmtId="9" fontId="0" fillId="0" borderId="0" xfId="0" applyNumberFormat="1"/>
    <xf numFmtId="167" fontId="0" fillId="0" borderId="0" xfId="0" applyNumberFormat="1"/>
    <xf numFmtId="0" fontId="0" fillId="7" borderId="0" xfId="0" applyFill="1"/>
    <xf numFmtId="9" fontId="21" fillId="7" borderId="0" xfId="11" applyFont="1" applyFill="1" applyBorder="1"/>
    <xf numFmtId="44" fontId="21" fillId="7" borderId="0" xfId="3" applyFont="1" applyFill="1"/>
    <xf numFmtId="9" fontId="0" fillId="7" borderId="0" xfId="0" applyNumberFormat="1" applyFill="1" applyBorder="1"/>
    <xf numFmtId="0" fontId="0" fillId="0" borderId="0" xfId="0" applyFont="1"/>
    <xf numFmtId="0" fontId="0" fillId="0" borderId="1" xfId="0" applyBorder="1"/>
    <xf numFmtId="0" fontId="0" fillId="0" borderId="10" xfId="0" applyFont="1" applyBorder="1"/>
    <xf numFmtId="0" fontId="0" fillId="0" borderId="2" xfId="0" applyFont="1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0" xfId="0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4" xfId="0" applyBorder="1"/>
    <xf numFmtId="2" fontId="0" fillId="0" borderId="0" xfId="0" applyNumberFormat="1" applyFont="1"/>
    <xf numFmtId="17" fontId="8" fillId="0" borderId="11" xfId="0" applyNumberFormat="1" applyFont="1" applyBorder="1" applyAlignment="1">
      <alignment horizontal="center"/>
    </xf>
    <xf numFmtId="2" fontId="0" fillId="0" borderId="3" xfId="0" applyNumberFormat="1" applyBorder="1"/>
    <xf numFmtId="10" fontId="23" fillId="0" borderId="0" xfId="11" applyNumberFormat="1" applyFont="1" applyBorder="1"/>
    <xf numFmtId="17" fontId="8" fillId="0" borderId="12" xfId="0" applyNumberFormat="1" applyFont="1" applyBorder="1" applyAlignment="1">
      <alignment horizontal="center"/>
    </xf>
    <xf numFmtId="17" fontId="8" fillId="0" borderId="13" xfId="0" applyNumberFormat="1" applyFont="1" applyBorder="1" applyAlignment="1">
      <alignment horizontal="center"/>
    </xf>
    <xf numFmtId="17" fontId="8" fillId="0" borderId="14" xfId="0" applyNumberFormat="1" applyFont="1" applyBorder="1" applyAlignment="1">
      <alignment horizontal="center"/>
    </xf>
    <xf numFmtId="0" fontId="14" fillId="0" borderId="0" xfId="10" applyFont="1"/>
    <xf numFmtId="0" fontId="15" fillId="0" borderId="0" xfId="10" applyFont="1"/>
    <xf numFmtId="0" fontId="16" fillId="0" borderId="0" xfId="10" applyFont="1"/>
    <xf numFmtId="0" fontId="16" fillId="2" borderId="15" xfId="10" applyFont="1" applyFill="1" applyBorder="1" applyAlignment="1">
      <alignment horizontal="center" wrapText="1"/>
    </xf>
    <xf numFmtId="0" fontId="16" fillId="0" borderId="16" xfId="10" applyFont="1" applyBorder="1" applyAlignment="1">
      <alignment horizontal="center"/>
    </xf>
    <xf numFmtId="0" fontId="16" fillId="0" borderId="17" xfId="10" applyFont="1" applyBorder="1" applyAlignment="1">
      <alignment horizontal="center" wrapText="1"/>
    </xf>
    <xf numFmtId="0" fontId="16" fillId="2" borderId="18" xfId="10" applyFont="1" applyFill="1" applyBorder="1" applyAlignment="1">
      <alignment horizontal="center" wrapText="1"/>
    </xf>
    <xf numFmtId="0" fontId="16" fillId="3" borderId="5" xfId="10" applyFont="1" applyFill="1" applyBorder="1" applyAlignment="1">
      <alignment horizontal="center"/>
    </xf>
    <xf numFmtId="0" fontId="16" fillId="3" borderId="15" xfId="10" applyFont="1" applyFill="1" applyBorder="1" applyAlignment="1">
      <alignment horizontal="center"/>
    </xf>
    <xf numFmtId="0" fontId="16" fillId="3" borderId="6" xfId="10" applyFont="1" applyFill="1" applyBorder="1" applyAlignment="1">
      <alignment horizontal="center"/>
    </xf>
    <xf numFmtId="0" fontId="16" fillId="3" borderId="18" xfId="10" applyFont="1" applyFill="1" applyBorder="1"/>
    <xf numFmtId="0" fontId="16" fillId="0" borderId="0" xfId="10" applyFont="1" applyFill="1" applyBorder="1"/>
    <xf numFmtId="0" fontId="15" fillId="0" borderId="0" xfId="10" applyFont="1" applyFill="1"/>
    <xf numFmtId="0" fontId="15" fillId="0" borderId="0" xfId="10" applyFont="1" applyFill="1" applyBorder="1"/>
    <xf numFmtId="0" fontId="16" fillId="0" borderId="0" xfId="0" applyFont="1" applyFill="1" applyBorder="1" applyAlignment="1">
      <alignment horizontal="center" wrapText="1"/>
    </xf>
    <xf numFmtId="0" fontId="15" fillId="0" borderId="19" xfId="10" applyFont="1" applyBorder="1"/>
    <xf numFmtId="0" fontId="15" fillId="0" borderId="20" xfId="10" applyFont="1" applyBorder="1" applyAlignment="1">
      <alignment horizontal="center"/>
    </xf>
    <xf numFmtId="0" fontId="15" fillId="0" borderId="21" xfId="10" applyFont="1" applyBorder="1" applyAlignment="1">
      <alignment horizontal="center"/>
    </xf>
    <xf numFmtId="0" fontId="15" fillId="0" borderId="19" xfId="10" applyFont="1" applyBorder="1" applyAlignment="1">
      <alignment horizontal="center"/>
    </xf>
    <xf numFmtId="44" fontId="15" fillId="0" borderId="20" xfId="4" applyNumberFormat="1" applyFont="1" applyBorder="1" applyAlignment="1">
      <alignment horizontal="center"/>
    </xf>
    <xf numFmtId="44" fontId="15" fillId="0" borderId="21" xfId="4" applyNumberFormat="1" applyFont="1" applyBorder="1" applyAlignment="1">
      <alignment horizontal="center"/>
    </xf>
    <xf numFmtId="0" fontId="15" fillId="0" borderId="22" xfId="10" applyFont="1" applyBorder="1" applyAlignment="1">
      <alignment horizontal="center"/>
    </xf>
    <xf numFmtId="0" fontId="15" fillId="0" borderId="23" xfId="10" applyFont="1" applyBorder="1"/>
    <xf numFmtId="0" fontId="10" fillId="0" borderId="0" xfId="0" applyFont="1" applyFill="1" applyAlignment="1">
      <alignment horizontal="center"/>
    </xf>
    <xf numFmtId="0" fontId="15" fillId="0" borderId="24" xfId="10" applyFont="1" applyBorder="1"/>
    <xf numFmtId="172" fontId="15" fillId="0" borderId="25" xfId="2" applyNumberFormat="1" applyFont="1" applyFill="1" applyBorder="1"/>
    <xf numFmtId="172" fontId="15" fillId="0" borderId="26" xfId="2" applyNumberFormat="1" applyFont="1" applyFill="1" applyBorder="1"/>
    <xf numFmtId="172" fontId="15" fillId="0" borderId="27" xfId="2" applyNumberFormat="1" applyFont="1" applyFill="1" applyBorder="1"/>
    <xf numFmtId="44" fontId="15" fillId="0" borderId="25" xfId="4" applyNumberFormat="1" applyFont="1" applyBorder="1"/>
    <xf numFmtId="44" fontId="15" fillId="0" borderId="26" xfId="4" applyNumberFormat="1" applyFont="1" applyBorder="1"/>
    <xf numFmtId="0" fontId="15" fillId="0" borderId="25" xfId="10" applyFont="1" applyBorder="1"/>
    <xf numFmtId="0" fontId="15" fillId="0" borderId="28" xfId="10" applyFont="1" applyBorder="1"/>
    <xf numFmtId="0" fontId="15" fillId="0" borderId="11" xfId="10" applyFont="1" applyBorder="1"/>
    <xf numFmtId="44" fontId="15" fillId="0" borderId="27" xfId="4" applyFont="1" applyFill="1" applyBorder="1"/>
    <xf numFmtId="44" fontId="15" fillId="0" borderId="24" xfId="4" applyNumberFormat="1" applyFont="1" applyBorder="1"/>
    <xf numFmtId="44" fontId="15" fillId="0" borderId="28" xfId="4" applyNumberFormat="1" applyFont="1" applyBorder="1"/>
    <xf numFmtId="0" fontId="15" fillId="0" borderId="24" xfId="10" applyFont="1" applyFill="1" applyBorder="1"/>
    <xf numFmtId="2" fontId="0" fillId="0" borderId="0" xfId="0" applyNumberFormat="1" applyFill="1"/>
    <xf numFmtId="0" fontId="15" fillId="0" borderId="24" xfId="10" applyFont="1" applyBorder="1" applyAlignment="1">
      <alignment horizontal="right"/>
    </xf>
    <xf numFmtId="44" fontId="15" fillId="0" borderId="24" xfId="4" applyNumberFormat="1" applyFont="1" applyFill="1" applyBorder="1"/>
    <xf numFmtId="0" fontId="15" fillId="0" borderId="29" xfId="10" applyFont="1" applyBorder="1" applyAlignment="1">
      <alignment horizontal="right"/>
    </xf>
    <xf numFmtId="172" fontId="15" fillId="0" borderId="30" xfId="2" applyNumberFormat="1" applyFont="1" applyFill="1" applyBorder="1"/>
    <xf numFmtId="172" fontId="15" fillId="0" borderId="31" xfId="2" applyNumberFormat="1" applyFont="1" applyFill="1" applyBorder="1"/>
    <xf numFmtId="44" fontId="15" fillId="0" borderId="32" xfId="4" applyFont="1" applyFill="1" applyBorder="1"/>
    <xf numFmtId="44" fontId="15" fillId="0" borderId="29" xfId="4" applyNumberFormat="1" applyFont="1" applyFill="1" applyBorder="1"/>
    <xf numFmtId="44" fontId="15" fillId="0" borderId="30" xfId="4" applyNumberFormat="1" applyFont="1" applyBorder="1"/>
    <xf numFmtId="44" fontId="15" fillId="0" borderId="31" xfId="4" applyNumberFormat="1" applyFont="1" applyBorder="1"/>
    <xf numFmtId="44" fontId="15" fillId="0" borderId="29" xfId="4" applyNumberFormat="1" applyFont="1" applyBorder="1"/>
    <xf numFmtId="44" fontId="15" fillId="0" borderId="33" xfId="4" applyNumberFormat="1" applyFont="1" applyBorder="1"/>
    <xf numFmtId="0" fontId="15" fillId="0" borderId="34" xfId="10" applyFont="1" applyBorder="1"/>
    <xf numFmtId="0" fontId="15" fillId="0" borderId="19" xfId="10" applyFont="1" applyBorder="1" applyAlignment="1">
      <alignment horizontal="right"/>
    </xf>
    <xf numFmtId="172" fontId="15" fillId="0" borderId="20" xfId="2" applyNumberFormat="1" applyFont="1" applyFill="1" applyBorder="1"/>
    <xf numFmtId="172" fontId="15" fillId="0" borderId="22" xfId="2" applyNumberFormat="1" applyFont="1" applyFill="1" applyBorder="1"/>
    <xf numFmtId="44" fontId="15" fillId="0" borderId="13" xfId="4" applyFont="1" applyFill="1" applyBorder="1"/>
    <xf numFmtId="44" fontId="15" fillId="0" borderId="19" xfId="4" applyNumberFormat="1" applyFont="1" applyFill="1" applyBorder="1"/>
    <xf numFmtId="44" fontId="15" fillId="0" borderId="20" xfId="4" applyNumberFormat="1" applyFont="1" applyBorder="1"/>
    <xf numFmtId="44" fontId="15" fillId="0" borderId="22" xfId="4" applyNumberFormat="1" applyFont="1" applyBorder="1"/>
    <xf numFmtId="44" fontId="15" fillId="0" borderId="19" xfId="4" applyNumberFormat="1" applyFont="1" applyBorder="1"/>
    <xf numFmtId="44" fontId="15" fillId="0" borderId="21" xfId="4" applyNumberFormat="1" applyFont="1" applyBorder="1"/>
    <xf numFmtId="44" fontId="15" fillId="0" borderId="35" xfId="4" applyNumberFormat="1" applyFont="1" applyBorder="1"/>
    <xf numFmtId="44" fontId="15" fillId="0" borderId="0" xfId="4" applyNumberFormat="1" applyFont="1" applyFill="1" applyBorder="1"/>
    <xf numFmtId="0" fontId="15" fillId="0" borderId="0" xfId="0" applyFont="1" applyFill="1" applyBorder="1" applyAlignment="1">
      <alignment wrapText="1"/>
    </xf>
    <xf numFmtId="8" fontId="15" fillId="0" borderId="0" xfId="0" applyNumberFormat="1" applyFont="1" applyFill="1" applyBorder="1" applyAlignment="1">
      <alignment horizontal="center" wrapText="1"/>
    </xf>
    <xf numFmtId="8" fontId="15" fillId="0" borderId="0" xfId="10" applyNumberFormat="1" applyFont="1" applyFill="1" applyBorder="1"/>
    <xf numFmtId="9" fontId="15" fillId="0" borderId="0" xfId="12" applyFont="1" applyFill="1" applyBorder="1"/>
    <xf numFmtId="172" fontId="15" fillId="0" borderId="28" xfId="2" applyNumberFormat="1" applyFont="1" applyFill="1" applyBorder="1"/>
    <xf numFmtId="44" fontId="15" fillId="0" borderId="14" xfId="4" applyFont="1" applyFill="1" applyBorder="1"/>
    <xf numFmtId="44" fontId="15" fillId="0" borderId="36" xfId="4" applyNumberFormat="1" applyFont="1" applyBorder="1"/>
    <xf numFmtId="44" fontId="15" fillId="0" borderId="0" xfId="4" applyFont="1" applyFill="1" applyBorder="1"/>
    <xf numFmtId="0" fontId="15" fillId="0" borderId="37" xfId="10" applyFont="1" applyBorder="1"/>
    <xf numFmtId="0" fontId="15" fillId="0" borderId="38" xfId="10" applyFont="1" applyBorder="1"/>
    <xf numFmtId="172" fontId="15" fillId="0" borderId="39" xfId="2" applyNumberFormat="1" applyFont="1" applyFill="1" applyBorder="1"/>
    <xf numFmtId="44" fontId="15" fillId="0" borderId="37" xfId="4" applyNumberFormat="1" applyFont="1" applyBorder="1"/>
    <xf numFmtId="44" fontId="15" fillId="0" borderId="38" xfId="4" applyNumberFormat="1" applyFont="1" applyBorder="1"/>
    <xf numFmtId="44" fontId="15" fillId="0" borderId="39" xfId="4" applyNumberFormat="1" applyFont="1" applyBorder="1"/>
    <xf numFmtId="44" fontId="15" fillId="0" borderId="40" xfId="4" applyNumberFormat="1" applyFont="1" applyBorder="1"/>
    <xf numFmtId="0" fontId="15" fillId="0" borderId="0" xfId="10" applyFont="1" applyBorder="1"/>
    <xf numFmtId="8" fontId="15" fillId="0" borderId="0" xfId="10" applyNumberFormat="1" applyFont="1"/>
    <xf numFmtId="8" fontId="15" fillId="0" borderId="0" xfId="10" applyNumberFormat="1" applyFont="1" applyFill="1"/>
    <xf numFmtId="44" fontId="15" fillId="0" borderId="0" xfId="4" applyFont="1" applyFill="1"/>
    <xf numFmtId="44" fontId="15" fillId="0" borderId="0" xfId="10" applyNumberFormat="1" applyFont="1"/>
    <xf numFmtId="0" fontId="3" fillId="0" borderId="0" xfId="0" applyFont="1"/>
    <xf numFmtId="0" fontId="0" fillId="8" borderId="0" xfId="0" applyFill="1"/>
    <xf numFmtId="0" fontId="0" fillId="8" borderId="0" xfId="0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left" indent="1"/>
    </xf>
    <xf numFmtId="0" fontId="17" fillId="0" borderId="0" xfId="0" applyFont="1"/>
    <xf numFmtId="0" fontId="4" fillId="0" borderId="0" xfId="0" applyFont="1"/>
    <xf numFmtId="0" fontId="0" fillId="2" borderId="1" xfId="0" applyFill="1" applyBorder="1" applyAlignment="1">
      <alignment horizontal="center"/>
    </xf>
    <xf numFmtId="0" fontId="5" fillId="0" borderId="10" xfId="0" applyFont="1" applyBorder="1"/>
    <xf numFmtId="0" fontId="5" fillId="0" borderId="2" xfId="0" applyFont="1" applyBorder="1"/>
    <xf numFmtId="0" fontId="5" fillId="0" borderId="5" xfId="0" applyFont="1" applyBorder="1"/>
    <xf numFmtId="0" fontId="0" fillId="0" borderId="15" xfId="0" applyBorder="1"/>
    <xf numFmtId="2" fontId="6" fillId="0" borderId="15" xfId="0" applyNumberFormat="1" applyFont="1" applyBorder="1"/>
    <xf numFmtId="0" fontId="6" fillId="0" borderId="15" xfId="0" applyFont="1" applyBorder="1"/>
    <xf numFmtId="0" fontId="5" fillId="0" borderId="0" xfId="0" applyFont="1"/>
    <xf numFmtId="0" fontId="0" fillId="0" borderId="0" xfId="0" applyFill="1"/>
    <xf numFmtId="0" fontId="0" fillId="0" borderId="0" xfId="0" applyFill="1" applyAlignment="1"/>
    <xf numFmtId="0" fontId="7" fillId="0" borderId="0" xfId="0" applyFont="1" applyFill="1"/>
    <xf numFmtId="0" fontId="7" fillId="0" borderId="0" xfId="0" applyFont="1"/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0" fontId="21" fillId="0" borderId="0" xfId="12" applyNumberFormat="1" applyFont="1" applyFill="1"/>
    <xf numFmtId="0" fontId="5" fillId="0" borderId="0" xfId="0" applyFont="1" applyAlignment="1">
      <alignment horizontal="center"/>
    </xf>
    <xf numFmtId="44" fontId="21" fillId="0" borderId="0" xfId="4" applyFont="1" applyAlignment="1">
      <alignment horizontal="center"/>
    </xf>
    <xf numFmtId="10" fontId="21" fillId="0" borderId="0" xfId="12" applyNumberFormat="1" applyFont="1"/>
    <xf numFmtId="0" fontId="5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5" xfId="5" applyFill="1" applyBorder="1" applyAlignment="1" applyProtection="1">
      <alignment horizontal="center"/>
    </xf>
    <xf numFmtId="0" fontId="5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7" fontId="8" fillId="0" borderId="0" xfId="0" applyNumberFormat="1" applyFont="1" applyFill="1" applyAlignment="1">
      <alignment horizontal="center"/>
    </xf>
    <xf numFmtId="173" fontId="6" fillId="0" borderId="0" xfId="4" applyNumberFormat="1" applyFont="1" applyFill="1" applyBorder="1"/>
    <xf numFmtId="2" fontId="0" fillId="0" borderId="0" xfId="0" applyNumberFormat="1" applyFill="1" applyBorder="1"/>
    <xf numFmtId="2" fontId="6" fillId="0" borderId="8" xfId="0" applyNumberFormat="1" applyFont="1" applyFill="1" applyBorder="1"/>
    <xf numFmtId="2" fontId="6" fillId="0" borderId="0" xfId="0" applyNumberFormat="1" applyFont="1" applyFill="1" applyBorder="1"/>
    <xf numFmtId="2" fontId="0" fillId="0" borderId="8" xfId="0" applyNumberFormat="1" applyFill="1" applyBorder="1" applyAlignment="1">
      <alignment horizontal="right"/>
    </xf>
    <xf numFmtId="2" fontId="0" fillId="0" borderId="0" xfId="0" applyNumberFormat="1" applyFill="1" applyAlignment="1">
      <alignment horizontal="right"/>
    </xf>
    <xf numFmtId="2" fontId="0" fillId="0" borderId="0" xfId="0" applyNumberFormat="1" applyFill="1" applyAlignment="1"/>
    <xf numFmtId="44" fontId="21" fillId="0" borderId="0" xfId="4" applyFont="1" applyFill="1" applyAlignment="1">
      <alignment horizontal="center"/>
    </xf>
    <xf numFmtId="17" fontId="8" fillId="0" borderId="18" xfId="0" applyNumberFormat="1" applyFont="1" applyFill="1" applyBorder="1" applyAlignment="1">
      <alignment horizontal="center" vertical="top" wrapText="1"/>
    </xf>
    <xf numFmtId="0" fontId="0" fillId="0" borderId="18" xfId="0" applyFill="1" applyBorder="1" applyAlignment="1">
      <alignment vertical="top" wrapText="1"/>
    </xf>
    <xf numFmtId="173" fontId="6" fillId="0" borderId="0" xfId="4" applyNumberFormat="1" applyFont="1" applyFill="1"/>
    <xf numFmtId="2" fontId="0" fillId="8" borderId="0" xfId="0" applyNumberFormat="1" applyFill="1"/>
    <xf numFmtId="2" fontId="6" fillId="0" borderId="0" xfId="0" applyNumberFormat="1" applyFont="1" applyFill="1"/>
    <xf numFmtId="2" fontId="24" fillId="8" borderId="0" xfId="0" applyNumberFormat="1" applyFont="1" applyFill="1" applyAlignment="1">
      <alignment horizontal="right"/>
    </xf>
    <xf numFmtId="2" fontId="0" fillId="8" borderId="0" xfId="0" applyNumberFormat="1" applyFill="1" applyAlignment="1">
      <alignment horizontal="right"/>
    </xf>
    <xf numFmtId="17" fontId="8" fillId="9" borderId="0" xfId="0" applyNumberFormat="1" applyFont="1" applyFill="1" applyAlignment="1">
      <alignment horizontal="center"/>
    </xf>
    <xf numFmtId="0" fontId="0" fillId="9" borderId="0" xfId="0" applyFill="1"/>
    <xf numFmtId="173" fontId="6" fillId="9" borderId="0" xfId="4" applyNumberFormat="1" applyFont="1" applyFill="1"/>
    <xf numFmtId="2" fontId="0" fillId="9" borderId="0" xfId="0" applyNumberFormat="1" applyFill="1"/>
    <xf numFmtId="2" fontId="0" fillId="9" borderId="0" xfId="0" applyNumberFormat="1" applyFill="1" applyBorder="1"/>
    <xf numFmtId="2" fontId="24" fillId="9" borderId="0" xfId="0" applyNumberFormat="1" applyFont="1" applyFill="1"/>
    <xf numFmtId="2" fontId="6" fillId="9" borderId="8" xfId="0" applyNumberFormat="1" applyFont="1" applyFill="1" applyBorder="1"/>
    <xf numFmtId="2" fontId="6" fillId="9" borderId="0" xfId="0" applyNumberFormat="1" applyFont="1" applyFill="1"/>
    <xf numFmtId="2" fontId="0" fillId="9" borderId="8" xfId="0" applyNumberFormat="1" applyFill="1" applyBorder="1" applyAlignment="1">
      <alignment horizontal="right"/>
    </xf>
    <xf numFmtId="2" fontId="0" fillId="9" borderId="0" xfId="0" applyNumberFormat="1" applyFill="1" applyAlignment="1">
      <alignment horizontal="right"/>
    </xf>
    <xf numFmtId="2" fontId="0" fillId="9" borderId="0" xfId="0" applyNumberFormat="1" applyFill="1" applyAlignment="1"/>
    <xf numFmtId="0" fontId="5" fillId="9" borderId="0" xfId="0" applyFont="1" applyFill="1" applyAlignment="1">
      <alignment horizontal="center"/>
    </xf>
    <xf numFmtId="2" fontId="0" fillId="9" borderId="0" xfId="0" applyNumberFormat="1" applyFill="1" applyAlignment="1">
      <alignment horizontal="center"/>
    </xf>
    <xf numFmtId="10" fontId="21" fillId="9" borderId="0" xfId="12" applyNumberFormat="1" applyFont="1" applyFill="1"/>
    <xf numFmtId="44" fontId="21" fillId="9" borderId="0" xfId="4" applyFont="1" applyFill="1" applyAlignment="1">
      <alignment horizontal="center"/>
    </xf>
    <xf numFmtId="1" fontId="0" fillId="9" borderId="0" xfId="0" applyNumberFormat="1" applyFill="1" applyAlignment="1">
      <alignment horizontal="center"/>
    </xf>
    <xf numFmtId="2" fontId="6" fillId="9" borderId="0" xfId="0" applyNumberFormat="1" applyFont="1" applyFill="1" applyAlignment="1">
      <alignment horizontal="left" indent="3"/>
    </xf>
    <xf numFmtId="1" fontId="0" fillId="9" borderId="0" xfId="0" applyNumberFormat="1" applyFill="1" applyAlignment="1">
      <alignment horizontal="left" indent="3"/>
    </xf>
    <xf numFmtId="10" fontId="0" fillId="9" borderId="0" xfId="0" applyNumberFormat="1" applyFill="1"/>
    <xf numFmtId="2" fontId="0" fillId="9" borderId="0" xfId="0" applyNumberFormat="1" applyFill="1" applyAlignment="1">
      <alignment horizontal="left" indent="3"/>
    </xf>
    <xf numFmtId="171" fontId="21" fillId="9" borderId="0" xfId="12" applyNumberFormat="1" applyFont="1" applyFill="1"/>
    <xf numFmtId="171" fontId="21" fillId="9" borderId="0" xfId="12" applyNumberFormat="1" applyFont="1" applyFill="1" applyAlignment="1">
      <alignment horizontal="left" indent="1"/>
    </xf>
    <xf numFmtId="0" fontId="0" fillId="9" borderId="0" xfId="0" applyFill="1" applyAlignment="1">
      <alignment horizontal="left" indent="1"/>
    </xf>
    <xf numFmtId="2" fontId="6" fillId="9" borderId="9" xfId="0" applyNumberFormat="1" applyFont="1" applyFill="1" applyBorder="1"/>
    <xf numFmtId="2" fontId="0" fillId="9" borderId="9" xfId="0" applyNumberFormat="1" applyFill="1" applyBorder="1" applyAlignment="1">
      <alignment horizontal="right"/>
    </xf>
    <xf numFmtId="17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3" fontId="6" fillId="0" borderId="0" xfId="4" applyNumberFormat="1" applyFont="1"/>
    <xf numFmtId="2" fontId="0" fillId="0" borderId="0" xfId="0" applyNumberFormat="1" applyBorder="1"/>
    <xf numFmtId="2" fontId="24" fillId="0" borderId="0" xfId="0" applyNumberFormat="1" applyFont="1"/>
    <xf numFmtId="2" fontId="6" fillId="0" borderId="0" xfId="0" applyNumberFormat="1" applyFont="1"/>
    <xf numFmtId="2" fontId="0" fillId="0" borderId="0" xfId="0" applyNumberFormat="1" applyAlignment="1">
      <alignment horizontal="right"/>
    </xf>
    <xf numFmtId="2" fontId="24" fillId="0" borderId="0" xfId="0" applyNumberFormat="1" applyFont="1" applyFill="1" applyAlignment="1">
      <alignment horizontal="right"/>
    </xf>
    <xf numFmtId="2" fontId="0" fillId="5" borderId="0" xfId="0" applyNumberFormat="1" applyFill="1" applyAlignment="1">
      <alignment horizontal="right"/>
    </xf>
    <xf numFmtId="2" fontId="0" fillId="10" borderId="0" xfId="0" applyNumberFormat="1" applyFill="1" applyAlignment="1">
      <alignment horizontal="right"/>
    </xf>
    <xf numFmtId="2" fontId="0" fillId="0" borderId="0" xfId="0" applyNumberFormat="1" applyAlignment="1"/>
    <xf numFmtId="2" fontId="0" fillId="0" borderId="0" xfId="0" applyNumberFormat="1" applyFill="1" applyAlignment="1">
      <alignment horizontal="left" indent="3"/>
    </xf>
    <xf numFmtId="2" fontId="0" fillId="5" borderId="0" xfId="0" applyNumberFormat="1" applyFill="1" applyAlignment="1">
      <alignment horizontal="left" indent="3"/>
    </xf>
    <xf numFmtId="174" fontId="0" fillId="0" borderId="0" xfId="0" applyNumberFormat="1" applyFill="1" applyAlignment="1">
      <alignment horizontal="right"/>
    </xf>
    <xf numFmtId="2" fontId="0" fillId="0" borderId="0" xfId="0" applyNumberFormat="1" applyAlignment="1">
      <alignment horizontal="left" indent="3"/>
    </xf>
    <xf numFmtId="173" fontId="21" fillId="0" borderId="0" xfId="4" applyNumberFormat="1" applyFont="1"/>
    <xf numFmtId="1" fontId="0" fillId="0" borderId="0" xfId="0" applyNumberFormat="1" applyAlignment="1">
      <alignment horizontal="center"/>
    </xf>
    <xf numFmtId="10" fontId="0" fillId="0" borderId="0" xfId="0" applyNumberFormat="1"/>
    <xf numFmtId="171" fontId="21" fillId="0" borderId="0" xfId="12" applyNumberFormat="1" applyFont="1"/>
    <xf numFmtId="0" fontId="9" fillId="0" borderId="0" xfId="0" applyFont="1" applyFill="1"/>
    <xf numFmtId="0" fontId="6" fillId="0" borderId="0" xfId="0" applyFont="1"/>
    <xf numFmtId="0" fontId="4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0" fillId="6" borderId="41" xfId="0" applyNumberFormat="1" applyFill="1" applyBorder="1"/>
    <xf numFmtId="2" fontId="0" fillId="6" borderId="20" xfId="0" applyNumberFormat="1" applyFill="1" applyBorder="1"/>
    <xf numFmtId="2" fontId="0" fillId="6" borderId="21" xfId="0" applyNumberFormat="1" applyFill="1" applyBorder="1"/>
    <xf numFmtId="2" fontId="0" fillId="6" borderId="42" xfId="0" applyNumberFormat="1" applyFill="1" applyBorder="1"/>
    <xf numFmtId="2" fontId="0" fillId="6" borderId="25" xfId="0" applyNumberFormat="1" applyFill="1" applyBorder="1"/>
    <xf numFmtId="2" fontId="0" fillId="6" borderId="26" xfId="0" applyNumberFormat="1" applyFill="1" applyBorder="1"/>
    <xf numFmtId="169" fontId="0" fillId="0" borderId="0" xfId="0" applyNumberFormat="1"/>
    <xf numFmtId="2" fontId="0" fillId="6" borderId="43" xfId="0" applyNumberFormat="1" applyFill="1" applyBorder="1"/>
    <xf numFmtId="2" fontId="0" fillId="6" borderId="30" xfId="0" applyNumberFormat="1" applyFill="1" applyBorder="1"/>
    <xf numFmtId="2" fontId="0" fillId="6" borderId="31" xfId="0" applyNumberFormat="1" applyFill="1" applyBorder="1"/>
    <xf numFmtId="2" fontId="0" fillId="6" borderId="19" xfId="0" applyNumberFormat="1" applyFill="1" applyBorder="1"/>
    <xf numFmtId="2" fontId="0" fillId="6" borderId="44" xfId="0" applyNumberFormat="1" applyFill="1" applyBorder="1"/>
    <xf numFmtId="170" fontId="0" fillId="0" borderId="0" xfId="0" applyNumberFormat="1"/>
    <xf numFmtId="6" fontId="0" fillId="0" borderId="0" xfId="0" applyNumberFormat="1" applyBorder="1"/>
    <xf numFmtId="17" fontId="8" fillId="0" borderId="45" xfId="0" applyNumberFormat="1" applyFont="1" applyBorder="1" applyAlignment="1">
      <alignment horizontal="center"/>
    </xf>
    <xf numFmtId="17" fontId="15" fillId="0" borderId="0" xfId="10" applyNumberFormat="1" applyFont="1" applyFill="1" applyBorder="1"/>
    <xf numFmtId="44" fontId="15" fillId="0" borderId="0" xfId="10" applyNumberFormat="1" applyFont="1" applyFill="1" applyBorder="1"/>
    <xf numFmtId="44" fontId="0" fillId="0" borderId="0" xfId="0" applyNumberFormat="1"/>
    <xf numFmtId="174" fontId="0" fillId="0" borderId="0" xfId="0" applyNumberFormat="1"/>
    <xf numFmtId="0" fontId="15" fillId="0" borderId="0" xfId="10" applyFont="1" applyAlignment="1">
      <alignment horizontal="center"/>
    </xf>
    <xf numFmtId="0" fontId="0" fillId="0" borderId="13" xfId="0" applyBorder="1"/>
    <xf numFmtId="0" fontId="0" fillId="0" borderId="46" xfId="0" applyBorder="1"/>
    <xf numFmtId="0" fontId="0" fillId="0" borderId="5" xfId="0" applyBorder="1"/>
    <xf numFmtId="0" fontId="0" fillId="0" borderId="6" xfId="0" applyBorder="1"/>
    <xf numFmtId="0" fontId="15" fillId="0" borderId="10" xfId="10" applyFont="1" applyBorder="1" applyAlignment="1">
      <alignment horizontal="center"/>
    </xf>
    <xf numFmtId="0" fontId="15" fillId="0" borderId="2" xfId="10" applyFont="1" applyBorder="1"/>
    <xf numFmtId="0" fontId="15" fillId="0" borderId="15" xfId="10" applyFont="1" applyBorder="1" applyAlignment="1">
      <alignment horizontal="center"/>
    </xf>
    <xf numFmtId="0" fontId="15" fillId="0" borderId="6" xfId="10" applyFont="1" applyBorder="1"/>
    <xf numFmtId="174" fontId="0" fillId="11" borderId="38" xfId="0" applyNumberFormat="1" applyFill="1" applyBorder="1"/>
    <xf numFmtId="17" fontId="8" fillId="0" borderId="0" xfId="0" applyNumberFormat="1" applyFont="1" applyBorder="1" applyAlignment="1">
      <alignment horizontal="center"/>
    </xf>
    <xf numFmtId="44" fontId="0" fillId="0" borderId="0" xfId="0" applyNumberFormat="1" applyFill="1"/>
    <xf numFmtId="0" fontId="0" fillId="0" borderId="0" xfId="0" applyBorder="1" applyAlignment="1">
      <alignment horizontal="right"/>
    </xf>
    <xf numFmtId="2" fontId="0" fillId="0" borderId="47" xfId="0" applyNumberFormat="1" applyBorder="1"/>
    <xf numFmtId="10" fontId="23" fillId="0" borderId="17" xfId="11" applyNumberFormat="1" applyFont="1" applyBorder="1"/>
    <xf numFmtId="0" fontId="0" fillId="0" borderId="48" xfId="0" applyBorder="1"/>
    <xf numFmtId="0" fontId="0" fillId="12" borderId="15" xfId="0" applyFill="1" applyBorder="1"/>
    <xf numFmtId="8" fontId="0" fillId="12" borderId="15" xfId="0" applyNumberFormat="1" applyFill="1" applyBorder="1"/>
    <xf numFmtId="0" fontId="11" fillId="0" borderId="0" xfId="0" applyFont="1" applyFill="1"/>
    <xf numFmtId="1" fontId="0" fillId="0" borderId="1" xfId="0" applyNumberFormat="1" applyBorder="1"/>
    <xf numFmtId="166" fontId="0" fillId="0" borderId="10" xfId="0" applyNumberFormat="1" applyBorder="1"/>
    <xf numFmtId="166" fontId="0" fillId="0" borderId="2" xfId="0" applyNumberFormat="1" applyBorder="1"/>
    <xf numFmtId="8" fontId="0" fillId="0" borderId="5" xfId="0" applyNumberFormat="1" applyBorder="1"/>
    <xf numFmtId="0" fontId="0" fillId="0" borderId="7" xfId="0" applyBorder="1"/>
    <xf numFmtId="0" fontId="15" fillId="0" borderId="10" xfId="10" applyFont="1" applyBorder="1"/>
    <xf numFmtId="0" fontId="15" fillId="11" borderId="15" xfId="10" applyFont="1" applyFill="1" applyBorder="1" applyAlignment="1">
      <alignment horizontal="center"/>
    </xf>
    <xf numFmtId="2" fontId="0" fillId="6" borderId="49" xfId="0" applyNumberFormat="1" applyFill="1" applyBorder="1"/>
    <xf numFmtId="2" fontId="0" fillId="6" borderId="50" xfId="0" applyNumberFormat="1" applyFill="1" applyBorder="1"/>
    <xf numFmtId="2" fontId="0" fillId="6" borderId="51" xfId="0" applyNumberFormat="1" applyFill="1" applyBorder="1"/>
    <xf numFmtId="2" fontId="0" fillId="6" borderId="52" xfId="0" applyNumberFormat="1" applyFill="1" applyBorder="1"/>
    <xf numFmtId="2" fontId="0" fillId="0" borderId="0" xfId="0" applyNumberFormat="1" applyFont="1" applyBorder="1"/>
    <xf numFmtId="2" fontId="24" fillId="0" borderId="0" xfId="0" applyNumberFormat="1" applyFont="1" applyFill="1"/>
    <xf numFmtId="2" fontId="0" fillId="6" borderId="16" xfId="0" applyNumberFormat="1" applyFill="1" applyBorder="1"/>
    <xf numFmtId="2" fontId="0" fillId="6" borderId="53" xfId="0" applyNumberFormat="1" applyFill="1" applyBorder="1"/>
    <xf numFmtId="2" fontId="0" fillId="6" borderId="54" xfId="0" applyNumberFormat="1" applyFill="1" applyBorder="1"/>
    <xf numFmtId="2" fontId="0" fillId="0" borderId="4" xfId="0" applyNumberFormat="1" applyFont="1" applyBorder="1"/>
    <xf numFmtId="9" fontId="0" fillId="0" borderId="0" xfId="0" applyNumberFormat="1" applyFill="1" applyBorder="1"/>
    <xf numFmtId="9" fontId="0" fillId="0" borderId="15" xfId="0" applyNumberFormat="1" applyFill="1" applyBorder="1"/>
    <xf numFmtId="0" fontId="0" fillId="12" borderId="0" xfId="0" applyFill="1"/>
    <xf numFmtId="165" fontId="21" fillId="0" borderId="7" xfId="1" applyNumberFormat="1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5" fontId="21" fillId="0" borderId="7" xfId="1" applyNumberFormat="1" applyFont="1" applyBorder="1"/>
    <xf numFmtId="0" fontId="0" fillId="0" borderId="8" xfId="0" applyFill="1" applyBorder="1"/>
    <xf numFmtId="8" fontId="0" fillId="0" borderId="8" xfId="0" applyNumberFormat="1" applyBorder="1"/>
    <xf numFmtId="0" fontId="0" fillId="0" borderId="55" xfId="0" applyBorder="1"/>
    <xf numFmtId="0" fontId="0" fillId="11" borderId="44" xfId="0" applyFill="1" applyBorder="1"/>
    <xf numFmtId="0" fontId="0" fillId="0" borderId="35" xfId="0" applyBorder="1"/>
    <xf numFmtId="0" fontId="0" fillId="0" borderId="2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11" borderId="8" xfId="0" applyNumberFormat="1" applyFill="1" applyBorder="1"/>
    <xf numFmtId="0" fontId="0" fillId="0" borderId="0" xfId="0" applyBorder="1" applyAlignment="1">
      <alignment horizontal="center"/>
    </xf>
    <xf numFmtId="14" fontId="0" fillId="0" borderId="0" xfId="0" quotePrefix="1" applyNumberFormat="1" applyBorder="1" applyAlignment="1">
      <alignment horizontal="center"/>
    </xf>
    <xf numFmtId="44" fontId="21" fillId="0" borderId="1" xfId="3" applyFont="1" applyBorder="1"/>
    <xf numFmtId="6" fontId="0" fillId="0" borderId="10" xfId="0" applyNumberFormat="1" applyBorder="1"/>
    <xf numFmtId="44" fontId="21" fillId="0" borderId="6" xfId="3" applyFont="1" applyBorder="1"/>
    <xf numFmtId="166" fontId="21" fillId="0" borderId="0" xfId="3" applyNumberFormat="1" applyFont="1" applyBorder="1"/>
    <xf numFmtId="166" fontId="0" fillId="0" borderId="0" xfId="0" applyNumberFormat="1" applyBorder="1" applyAlignment="1">
      <alignment horizontal="center"/>
    </xf>
    <xf numFmtId="9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vertical="center"/>
    </xf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Border="1"/>
    <xf numFmtId="44" fontId="0" fillId="0" borderId="0" xfId="0" applyNumberFormat="1" applyBorder="1"/>
    <xf numFmtId="169" fontId="0" fillId="12" borderId="0" xfId="0" applyNumberFormat="1" applyFill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5" xfId="0" applyFont="1" applyBorder="1"/>
    <xf numFmtId="0" fontId="0" fillId="0" borderId="25" xfId="0" applyFill="1" applyBorder="1" applyAlignment="1">
      <alignment horizontal="center"/>
    </xf>
    <xf numFmtId="9" fontId="0" fillId="0" borderId="25" xfId="0" applyNumberFormat="1" applyFill="1" applyBorder="1"/>
    <xf numFmtId="0" fontId="0" fillId="0" borderId="25" xfId="0" quotePrefix="1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6" fillId="3" borderId="1" xfId="10" applyFont="1" applyFill="1" applyBorder="1" applyAlignment="1">
      <alignment horizontal="center"/>
    </xf>
    <xf numFmtId="0" fontId="16" fillId="0" borderId="10" xfId="10" applyFont="1" applyBorder="1" applyAlignment="1">
      <alignment horizontal="center"/>
    </xf>
    <xf numFmtId="0" fontId="16" fillId="0" borderId="2" xfId="10" applyFont="1" applyBorder="1" applyAlignment="1">
      <alignment horizontal="center"/>
    </xf>
    <xf numFmtId="0" fontId="15" fillId="0" borderId="0" xfId="1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</cellXfs>
  <cellStyles count="14">
    <cellStyle name="Comma" xfId="1" builtinId="3"/>
    <cellStyle name="Comma 2" xfId="2"/>
    <cellStyle name="Currency" xfId="3" builtinId="4"/>
    <cellStyle name="Currency 2" xfId="4"/>
    <cellStyle name="Hyperlink" xfId="5" builtinId="8"/>
    <cellStyle name="Normal" xfId="0" builtinId="0"/>
    <cellStyle name="Normal 2" xfId="6"/>
    <cellStyle name="Normal 2 2" xfId="7"/>
    <cellStyle name="Normal 3" xfId="8"/>
    <cellStyle name="Normal 4" xfId="9"/>
    <cellStyle name="Normal_Workbook2" xfId="10"/>
    <cellStyle name="Percent" xfId="11" builtinId="5"/>
    <cellStyle name="Percent 2" xfId="12"/>
    <cellStyle name="Percent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CINERGY- FORWARD HEAVY LOAD MONTHLY PRICE </a:t>
            </a:r>
          </a:p>
        </c:rich>
      </c:tx>
      <c:layout>
        <c:manualLayout>
          <c:xMode val="edge"/>
          <c:yMode val="edge"/>
          <c:x val="0.20782394847702862"/>
          <c:y val="3.6036105242942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0443673487798"/>
          <c:y val="0.17567615866764788"/>
          <c:w val="0.85330098817290456"/>
          <c:h val="0.62612784755905571"/>
        </c:manualLayout>
      </c:layout>
      <c:lineChart>
        <c:grouping val="standard"/>
        <c:varyColors val="0"/>
        <c:ser>
          <c:idx val="1"/>
          <c:order val="0"/>
          <c:tx>
            <c:strRef>
              <c:f>'[1]Monthly Worksheet'!$AM$8</c:f>
              <c:strCache>
                <c:ptCount val="1"/>
                <c:pt idx="0">
                  <c:v>2011-12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'[1]Monthly Worksheet'!$AL$9:$AL$22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Worksheet'!$AM$9:$AM$22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'[1]Monthly Worksheet'!$AN$8</c:f>
              <c:strCache>
                <c:ptCount val="1"/>
                <c:pt idx="0">
                  <c:v>2012-13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'[1]Monthly Worksheet'!$AL$9:$AL$22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Worksheet'!$AN$9:$AN$22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'[1]Monthly Worksheet'!$AO$8</c:f>
              <c:strCache>
                <c:ptCount val="1"/>
                <c:pt idx="0">
                  <c:v>2013-14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'[1]Monthly Worksheet'!$AL$9:$AL$22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Worksheet'!$AO$9:$AO$22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'[1]Monthly Worksheet'!$AP$8</c:f>
              <c:strCache>
                <c:ptCount val="1"/>
                <c:pt idx="0">
                  <c:v>2014-15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'[1]Monthly Worksheet'!$AL$9:$AL$22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Worksheet'!$AP$9:$AP$22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'[1]Monthly Worksheet'!$AQ$8</c:f>
              <c:strCache>
                <c:ptCount val="1"/>
                <c:pt idx="0">
                  <c:v>AVE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'[1]Monthly Worksheet'!$AL$9:$AL$22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Worksheet'!$AQ$9:$AQ$22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0768"/>
        <c:axId val="38335616"/>
      </c:lineChart>
      <c:catAx>
        <c:axId val="3832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 </a:t>
                </a:r>
              </a:p>
            </c:rich>
          </c:tx>
          <c:layout>
            <c:manualLayout>
              <c:xMode val="edge"/>
              <c:yMode val="edge"/>
              <c:x val="0.5110026687840491"/>
              <c:y val="0.882885289745285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33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356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$/MMbtu</a:t>
                </a:r>
              </a:p>
            </c:rich>
          </c:tx>
          <c:layout>
            <c:manualLayout>
              <c:xMode val="edge"/>
              <c:yMode val="edge"/>
              <c:x val="3.1784776902887141E-2"/>
              <c:y val="0.405406397371060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320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449877588830807"/>
          <c:y val="0.75225060282098888"/>
          <c:w val="0.56723725710756745"/>
          <c:h val="6.30629707871881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133" r="0.750000000000001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CINERGY- FORWARD LIGHT LOAD MONTHLY PRICE </a:t>
            </a:r>
          </a:p>
        </c:rich>
      </c:tx>
      <c:layout>
        <c:manualLayout>
          <c:xMode val="edge"/>
          <c:yMode val="edge"/>
          <c:x val="0.21445806979045651"/>
          <c:y val="3.58743526043201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07242807844009"/>
          <c:y val="0.29596380153907104"/>
          <c:w val="0.855422693221354"/>
          <c:h val="0.50672590263507644"/>
        </c:manualLayout>
      </c:layout>
      <c:lineChart>
        <c:grouping val="standard"/>
        <c:varyColors val="0"/>
        <c:ser>
          <c:idx val="1"/>
          <c:order val="0"/>
          <c:tx>
            <c:strRef>
              <c:f>'[1]Monthly Worksheet'!$AU$8</c:f>
              <c:strCache>
                <c:ptCount val="1"/>
                <c:pt idx="0">
                  <c:v>2011-12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'[1]Monthly Worksheet'!$AT$9:$AT$22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Worksheet'!$AU$9:$AU$22</c:f>
              <c:numCache>
                <c:formatCode>General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'[1]Monthly Worksheet'!$AV$8</c:f>
              <c:strCache>
                <c:ptCount val="1"/>
                <c:pt idx="0">
                  <c:v>2012-13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'[1]Monthly Worksheet'!$AT$9:$AT$22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Worksheet'!$AV$9:$AV$22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'[1]Monthly Worksheet'!$AW$8</c:f>
              <c:strCache>
                <c:ptCount val="1"/>
                <c:pt idx="0">
                  <c:v>2013-14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'[1]Monthly Worksheet'!$AT$9:$AT$22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Worksheet'!$AW$9:$AW$22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'[1]Monthly Worksheet'!$AX$8</c:f>
              <c:strCache>
                <c:ptCount val="1"/>
                <c:pt idx="0">
                  <c:v>2014-15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'[1]Monthly Worksheet'!$AT$9:$AT$22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Worksheet'!$AX$9:$AX$22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'[1]Monthly Worksheet'!$AY$8</c:f>
              <c:strCache>
                <c:ptCount val="1"/>
                <c:pt idx="0">
                  <c:v>AVE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'[1]Monthly Worksheet'!$AT$9:$AT$22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ave</c:v>
                </c:pt>
              </c:strCache>
            </c:strRef>
          </c:cat>
          <c:val>
            <c:numRef>
              <c:f>'[1]Monthly Worksheet'!$AY$9:$AY$22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17600"/>
        <c:axId val="39819904"/>
      </c:lineChart>
      <c:catAx>
        <c:axId val="3981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 </a:t>
                </a:r>
              </a:p>
            </c:rich>
          </c:tx>
          <c:layout>
            <c:manualLayout>
              <c:xMode val="edge"/>
              <c:yMode val="edge"/>
              <c:x val="0.51084398261692698"/>
              <c:y val="0.883411792777239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8199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$/MMbtu</a:t>
                </a:r>
              </a:p>
            </c:rich>
          </c:tx>
          <c:layout>
            <c:manualLayout>
              <c:xMode val="edge"/>
              <c:yMode val="edge"/>
              <c:x val="3.1325244180543006E-2"/>
              <c:y val="0.408073041671930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17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096402908652811"/>
          <c:y val="0.54260024983508071"/>
          <c:w val="0.55903661632459878"/>
          <c:h val="6.27801872359537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133" r="0.750000000000001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685800</xdr:colOff>
      <xdr:row>24</xdr:row>
      <xdr:rowOff>9525</xdr:rowOff>
    </xdr:from>
    <xdr:to>
      <xdr:col>43</xdr:col>
      <xdr:colOff>723900</xdr:colOff>
      <xdr:row>42</xdr:row>
      <xdr:rowOff>85725</xdr:rowOff>
    </xdr:to>
    <xdr:graphicFrame macro="">
      <xdr:nvGraphicFramePr>
        <xdr:cNvPr id="111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0</xdr:colOff>
      <xdr:row>23</xdr:row>
      <xdr:rowOff>142875</xdr:rowOff>
    </xdr:from>
    <xdr:to>
      <xdr:col>52</xdr:col>
      <xdr:colOff>114300</xdr:colOff>
      <xdr:row>42</xdr:row>
      <xdr:rowOff>76200</xdr:rowOff>
    </xdr:to>
    <xdr:graphicFrame macro="">
      <xdr:nvGraphicFramePr>
        <xdr:cNvPr id="111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Richard\Local%20Settings\Temporary%20Internet%20Files\Content.IE5\L9CAN3GE\RFP%2022%20-%20CONFIDENTIAL%20-%20Rich_Chan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Worksheet"/>
      <sheetName val="LT Forecast"/>
      <sheetName val="Tables"/>
      <sheetName val="CO2Tax"/>
    </sheetNames>
    <sheetDataSet>
      <sheetData sheetId="0">
        <row r="8">
          <cell r="G8" t="str">
            <v>ESTIMATE</v>
          </cell>
          <cell r="AM8" t="str">
            <v>2011-12</v>
          </cell>
          <cell r="AN8" t="str">
            <v>2012-13</v>
          </cell>
          <cell r="AO8" t="str">
            <v>2013-14</v>
          </cell>
          <cell r="AP8" t="str">
            <v>2014-15</v>
          </cell>
          <cell r="AQ8" t="str">
            <v>AVE</v>
          </cell>
          <cell r="AU8" t="str">
            <v>2011-12</v>
          </cell>
          <cell r="AV8" t="str">
            <v>2012-13</v>
          </cell>
          <cell r="AW8" t="str">
            <v>2013-14</v>
          </cell>
          <cell r="AX8" t="str">
            <v>2014-15</v>
          </cell>
          <cell r="AY8" t="str">
            <v>AVE</v>
          </cell>
        </row>
        <row r="9"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T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</row>
        <row r="10">
          <cell r="A10" t="str">
            <v>Mth-Year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</row>
        <row r="11"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</row>
        <row r="12"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3"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</row>
        <row r="14">
          <cell r="G14">
            <v>3.7395899999999997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</row>
        <row r="15">
          <cell r="G15">
            <v>3.8445899999999997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</row>
        <row r="16">
          <cell r="G16">
            <v>3.81209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</row>
        <row r="17">
          <cell r="G17">
            <v>3.7645899999999997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</row>
        <row r="18">
          <cell r="G18">
            <v>3.7795899999999998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</row>
        <row r="19">
          <cell r="G19">
            <v>3.7745899999999999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</row>
        <row r="20">
          <cell r="G20">
            <v>3.7845899999999997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</row>
        <row r="21">
          <cell r="G21">
            <v>3.8045899999999997</v>
          </cell>
        </row>
        <row r="22">
          <cell r="G22">
            <v>3.8245899999999997</v>
          </cell>
          <cell r="AL22" t="str">
            <v>ave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T22" t="str">
            <v>ave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</row>
        <row r="23">
          <cell r="G23">
            <v>3.8870899999999997</v>
          </cell>
        </row>
        <row r="24">
          <cell r="G24">
            <v>4.1020900000000005</v>
          </cell>
        </row>
        <row r="25">
          <cell r="G25">
            <v>4.3420900000000007</v>
          </cell>
        </row>
      </sheetData>
      <sheetData sheetId="1"/>
      <sheetData sheetId="2"/>
      <sheetData sheetId="3">
        <row r="8">
          <cell r="A8">
            <v>2005</v>
          </cell>
          <cell r="D8">
            <v>0</v>
          </cell>
        </row>
        <row r="9">
          <cell r="A9">
            <v>2006</v>
          </cell>
          <cell r="D9">
            <v>0</v>
          </cell>
        </row>
        <row r="10">
          <cell r="A10">
            <v>2007</v>
          </cell>
          <cell r="D10">
            <v>0</v>
          </cell>
        </row>
        <row r="11">
          <cell r="A11">
            <v>2008</v>
          </cell>
          <cell r="D11">
            <v>0</v>
          </cell>
        </row>
        <row r="12">
          <cell r="A12">
            <v>2009</v>
          </cell>
          <cell r="D12">
            <v>0</v>
          </cell>
        </row>
        <row r="13">
          <cell r="A13">
            <v>2010</v>
          </cell>
          <cell r="D13">
            <v>0</v>
          </cell>
        </row>
        <row r="14">
          <cell r="A14">
            <v>2011</v>
          </cell>
          <cell r="D14">
            <v>0</v>
          </cell>
        </row>
        <row r="15">
          <cell r="A15">
            <v>2012</v>
          </cell>
          <cell r="D15">
            <v>0</v>
          </cell>
        </row>
        <row r="16">
          <cell r="A16">
            <v>2013</v>
          </cell>
          <cell r="D16">
            <v>0</v>
          </cell>
        </row>
        <row r="17">
          <cell r="A17">
            <v>2014</v>
          </cell>
          <cell r="D17">
            <v>0</v>
          </cell>
        </row>
        <row r="18">
          <cell r="A18">
            <v>2015</v>
          </cell>
          <cell r="D18">
            <v>5</v>
          </cell>
        </row>
        <row r="19">
          <cell r="A19">
            <v>2016</v>
          </cell>
          <cell r="D19">
            <v>5</v>
          </cell>
        </row>
        <row r="20">
          <cell r="A20">
            <v>2017</v>
          </cell>
          <cell r="D20">
            <v>5</v>
          </cell>
        </row>
        <row r="21">
          <cell r="A21">
            <v>2018</v>
          </cell>
          <cell r="D21">
            <v>5</v>
          </cell>
        </row>
        <row r="22">
          <cell r="A22">
            <v>2019</v>
          </cell>
          <cell r="D22">
            <v>5</v>
          </cell>
        </row>
        <row r="23">
          <cell r="A23">
            <v>2020</v>
          </cell>
          <cell r="D23">
            <v>10</v>
          </cell>
        </row>
        <row r="24">
          <cell r="A24">
            <v>2021</v>
          </cell>
          <cell r="D24">
            <v>10</v>
          </cell>
        </row>
        <row r="25">
          <cell r="A25">
            <v>2022</v>
          </cell>
          <cell r="D25">
            <v>10</v>
          </cell>
        </row>
        <row r="26">
          <cell r="A26">
            <v>2023</v>
          </cell>
          <cell r="D26">
            <v>10</v>
          </cell>
        </row>
        <row r="27">
          <cell r="A27">
            <v>2024</v>
          </cell>
          <cell r="D27">
            <v>10</v>
          </cell>
        </row>
        <row r="28">
          <cell r="A28">
            <v>2025</v>
          </cell>
          <cell r="D28">
            <v>15</v>
          </cell>
        </row>
        <row r="29">
          <cell r="A29">
            <v>2026</v>
          </cell>
          <cell r="D29">
            <v>15</v>
          </cell>
        </row>
        <row r="30">
          <cell r="A30">
            <v>2027</v>
          </cell>
          <cell r="D30">
            <v>15</v>
          </cell>
        </row>
        <row r="31">
          <cell r="A31">
            <v>2028</v>
          </cell>
          <cell r="D31">
            <v>15</v>
          </cell>
        </row>
        <row r="32">
          <cell r="A32">
            <v>2029</v>
          </cell>
          <cell r="D32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topLeftCell="J25" workbookViewId="0">
      <selection activeCell="L30" sqref="L30"/>
    </sheetView>
  </sheetViews>
  <sheetFormatPr defaultRowHeight="14.4" x14ac:dyDescent="0.3"/>
  <cols>
    <col min="3" max="3" width="14.88671875" bestFit="1" customWidth="1"/>
    <col min="4" max="4" width="12" bestFit="1" customWidth="1"/>
    <col min="5" max="5" width="15.33203125" bestFit="1" customWidth="1"/>
    <col min="6" max="6" width="13.5546875" customWidth="1"/>
    <col min="7" max="7" width="8.88671875" bestFit="1" customWidth="1"/>
    <col min="8" max="8" width="12.33203125" bestFit="1" customWidth="1"/>
    <col min="9" max="9" width="10.5546875" customWidth="1"/>
    <col min="12" max="12" width="17.5546875" customWidth="1"/>
    <col min="13" max="21" width="12.44140625" customWidth="1"/>
    <col min="22" max="22" width="13.88671875" bestFit="1" customWidth="1"/>
  </cols>
  <sheetData>
    <row r="1" spans="1:17" ht="15.75" thickBot="1" x14ac:dyDescent="0.3"/>
    <row r="2" spans="1:17" ht="15" x14ac:dyDescent="0.25">
      <c r="C2" s="299" t="s">
        <v>48</v>
      </c>
      <c r="D2" s="299" t="s">
        <v>48</v>
      </c>
      <c r="E2" s="299"/>
      <c r="F2" s="300" t="s">
        <v>107</v>
      </c>
      <c r="G2" s="281" t="s">
        <v>133</v>
      </c>
      <c r="H2" s="282"/>
      <c r="I2" s="43" t="s">
        <v>149</v>
      </c>
      <c r="J2" s="46"/>
      <c r="K2" s="46"/>
      <c r="L2" s="46"/>
      <c r="M2" s="46"/>
      <c r="N2" s="46"/>
      <c r="O2" s="46"/>
      <c r="P2" s="328">
        <v>1</v>
      </c>
      <c r="Q2" s="326" t="s">
        <v>150</v>
      </c>
    </row>
    <row r="3" spans="1:17" ht="15.75" thickBot="1" x14ac:dyDescent="0.3">
      <c r="C3" s="27" t="s">
        <v>112</v>
      </c>
      <c r="D3" s="27" t="s">
        <v>41</v>
      </c>
      <c r="E3" s="27" t="s">
        <v>131</v>
      </c>
      <c r="F3" s="301">
        <v>0</v>
      </c>
      <c r="G3" s="283" t="s">
        <v>134</v>
      </c>
      <c r="H3" s="284"/>
      <c r="I3" s="279"/>
      <c r="J3" s="152"/>
      <c r="K3" s="152"/>
      <c r="L3" s="152"/>
      <c r="M3" s="152"/>
      <c r="N3" s="152"/>
      <c r="O3" s="152"/>
      <c r="P3" s="152"/>
      <c r="Q3" s="327" t="s">
        <v>134</v>
      </c>
    </row>
    <row r="4" spans="1:17" x14ac:dyDescent="0.3">
      <c r="C4" s="27" t="s">
        <v>110</v>
      </c>
      <c r="D4" s="27" t="s">
        <v>113</v>
      </c>
      <c r="E4" s="27" t="s">
        <v>132</v>
      </c>
      <c r="F4" s="278" t="s">
        <v>115</v>
      </c>
      <c r="G4" s="277"/>
      <c r="H4" s="278"/>
      <c r="I4" s="323"/>
      <c r="J4" s="323"/>
      <c r="K4" s="323"/>
      <c r="L4" s="323"/>
      <c r="M4" s="324">
        <v>0.42899999999999999</v>
      </c>
      <c r="N4" s="323" t="s">
        <v>106</v>
      </c>
      <c r="O4" s="325"/>
    </row>
    <row r="5" spans="1:17" ht="15" thickBot="1" x14ac:dyDescent="0.35">
      <c r="C5" s="27" t="s">
        <v>111</v>
      </c>
      <c r="D5" s="27" t="s">
        <v>114</v>
      </c>
      <c r="E5" s="27" t="s">
        <v>153</v>
      </c>
      <c r="F5" s="152" t="s">
        <v>116</v>
      </c>
      <c r="G5" s="279"/>
      <c r="H5" s="152"/>
      <c r="I5" s="152"/>
      <c r="J5" s="152"/>
      <c r="K5" s="152"/>
      <c r="L5" s="152"/>
      <c r="M5" s="285">
        <v>1</v>
      </c>
      <c r="N5" s="152" t="s">
        <v>106</v>
      </c>
      <c r="O5" s="280"/>
    </row>
    <row r="6" spans="1:17" ht="15" x14ac:dyDescent="0.25">
      <c r="A6" s="312"/>
      <c r="B6">
        <v>2013</v>
      </c>
      <c r="C6" s="311">
        <v>4.8574740760100674</v>
      </c>
      <c r="D6" s="311">
        <v>0</v>
      </c>
      <c r="E6" s="330">
        <v>0.56000000000000005</v>
      </c>
    </row>
    <row r="7" spans="1:17" ht="15" x14ac:dyDescent="0.25">
      <c r="A7" s="312"/>
      <c r="B7">
        <v>2014</v>
      </c>
      <c r="C7" s="311">
        <v>4.9151008881467142</v>
      </c>
      <c r="D7" s="311">
        <v>0</v>
      </c>
      <c r="E7" s="330">
        <v>0.6</v>
      </c>
    </row>
    <row r="8" spans="1:17" ht="15" x14ac:dyDescent="0.25">
      <c r="A8" s="312"/>
      <c r="B8">
        <v>2015</v>
      </c>
      <c r="C8" s="311">
        <v>5.2675347023949772</v>
      </c>
      <c r="D8" s="311">
        <v>0</v>
      </c>
      <c r="E8" s="330">
        <v>0.65</v>
      </c>
    </row>
    <row r="9" spans="1:17" ht="15.75" thickBot="1" x14ac:dyDescent="0.3">
      <c r="A9" s="312"/>
      <c r="B9">
        <v>2016</v>
      </c>
      <c r="C9" s="50">
        <v>5.57</v>
      </c>
      <c r="D9" s="311">
        <v>0</v>
      </c>
      <c r="E9" s="330">
        <v>0.7</v>
      </c>
    </row>
    <row r="10" spans="1:17" ht="15" x14ac:dyDescent="0.25">
      <c r="A10" s="312"/>
      <c r="B10">
        <v>2017</v>
      </c>
      <c r="C10" s="311">
        <v>6.0812076341236505</v>
      </c>
      <c r="D10" s="311">
        <v>0</v>
      </c>
      <c r="E10" s="330">
        <v>0.74</v>
      </c>
      <c r="I10" s="43" t="s">
        <v>137</v>
      </c>
      <c r="J10" s="46"/>
      <c r="K10" s="46"/>
      <c r="L10" s="46"/>
      <c r="M10" s="46"/>
      <c r="N10" s="46"/>
      <c r="O10" s="46"/>
      <c r="P10" s="47"/>
    </row>
    <row r="11" spans="1:17" ht="15" x14ac:dyDescent="0.25">
      <c r="A11" s="312"/>
      <c r="B11">
        <v>2018</v>
      </c>
      <c r="C11" s="311">
        <v>6.6393332655877497</v>
      </c>
      <c r="D11" s="311">
        <v>0</v>
      </c>
      <c r="E11" s="330">
        <v>0.79</v>
      </c>
      <c r="I11" s="48"/>
      <c r="J11" s="12"/>
      <c r="K11" s="12"/>
      <c r="L11" s="12"/>
      <c r="M11" s="12"/>
      <c r="N11" s="12"/>
      <c r="O11" s="12"/>
      <c r="P11" s="52"/>
    </row>
    <row r="12" spans="1:17" ht="15.75" thickBot="1" x14ac:dyDescent="0.3">
      <c r="A12" s="312"/>
      <c r="B12">
        <v>2019</v>
      </c>
      <c r="C12" s="311">
        <v>7.2486829695122692</v>
      </c>
      <c r="D12" s="311">
        <v>0</v>
      </c>
      <c r="E12" s="330">
        <v>0.83</v>
      </c>
      <c r="I12" s="279"/>
      <c r="J12" s="292" t="s">
        <v>129</v>
      </c>
      <c r="K12" s="293">
        <f ca="1">LevelizedAvoidedCost!D26</f>
        <v>60.722256431387066</v>
      </c>
      <c r="L12" s="152"/>
      <c r="M12" s="152"/>
      <c r="N12" s="152"/>
      <c r="O12" s="152"/>
      <c r="P12" s="280"/>
    </row>
    <row r="13" spans="1:17" ht="15" x14ac:dyDescent="0.25">
      <c r="A13" s="312"/>
      <c r="B13">
        <v>2020</v>
      </c>
      <c r="C13" s="311">
        <v>7.9139580272064807</v>
      </c>
      <c r="D13" s="311">
        <v>0</v>
      </c>
      <c r="E13" s="330">
        <v>0.88</v>
      </c>
    </row>
    <row r="14" spans="1:17" ht="15" x14ac:dyDescent="0.25">
      <c r="A14" s="312"/>
      <c r="B14">
        <v>2021</v>
      </c>
      <c r="C14" s="311">
        <v>8.6402911976987777</v>
      </c>
      <c r="D14" s="311">
        <v>0</v>
      </c>
      <c r="E14" s="330">
        <v>0.93</v>
      </c>
    </row>
    <row r="15" spans="1:17" ht="15" x14ac:dyDescent="0.25">
      <c r="A15" s="312"/>
      <c r="B15">
        <v>2022</v>
      </c>
      <c r="C15" s="311">
        <v>9.4332863182221161</v>
      </c>
      <c r="D15" s="311">
        <v>0</v>
      </c>
      <c r="E15" s="330">
        <v>0.97</v>
      </c>
    </row>
    <row r="16" spans="1:17" ht="15" x14ac:dyDescent="0.25">
      <c r="B16">
        <v>2023</v>
      </c>
      <c r="C16" s="311">
        <v>10.2990615391825</v>
      </c>
      <c r="D16" s="311">
        <v>0</v>
      </c>
      <c r="E16" s="312">
        <v>1</v>
      </c>
    </row>
    <row r="17" spans="2:22" ht="15" x14ac:dyDescent="0.25">
      <c r="B17">
        <v>2024</v>
      </c>
      <c r="C17" s="311">
        <v>11.244296527178793</v>
      </c>
      <c r="D17" s="311">
        <v>0</v>
      </c>
      <c r="E17" s="312">
        <v>1</v>
      </c>
    </row>
    <row r="18" spans="2:22" ht="15" x14ac:dyDescent="0.25">
      <c r="B18">
        <v>2025</v>
      </c>
      <c r="C18" s="311">
        <v>12.276284000256682</v>
      </c>
      <c r="D18" s="311">
        <v>0</v>
      </c>
      <c r="E18" s="312">
        <v>1</v>
      </c>
    </row>
    <row r="19" spans="2:22" ht="15" x14ac:dyDescent="0.25">
      <c r="B19">
        <v>2026</v>
      </c>
      <c r="C19" s="311">
        <v>13.402985993003764</v>
      </c>
      <c r="D19" s="311">
        <v>0</v>
      </c>
      <c r="E19" s="312">
        <v>1</v>
      </c>
    </row>
    <row r="20" spans="2:22" ht="15" x14ac:dyDescent="0.25">
      <c r="B20">
        <v>2027</v>
      </c>
      <c r="C20" s="311">
        <v>14.633095285584714</v>
      </c>
      <c r="D20" s="311">
        <v>0</v>
      </c>
      <c r="E20" s="312">
        <v>1</v>
      </c>
    </row>
    <row r="21" spans="2:22" ht="15" x14ac:dyDescent="0.25">
      <c r="B21">
        <v>2028</v>
      </c>
      <c r="C21" s="311">
        <v>15.976102470656471</v>
      </c>
      <c r="D21" s="311">
        <v>0</v>
      </c>
      <c r="E21" s="312">
        <v>1</v>
      </c>
    </row>
    <row r="22" spans="2:22" ht="15" x14ac:dyDescent="0.25">
      <c r="B22">
        <v>2029</v>
      </c>
      <c r="C22" s="311">
        <v>17.442369175601048</v>
      </c>
      <c r="D22" s="311">
        <v>0</v>
      </c>
      <c r="E22" s="312">
        <v>1</v>
      </c>
    </row>
    <row r="23" spans="2:22" ht="15" x14ac:dyDescent="0.25">
      <c r="B23">
        <v>2030</v>
      </c>
      <c r="C23" s="311">
        <v>19.043208005003258</v>
      </c>
      <c r="D23" s="311">
        <v>0</v>
      </c>
      <c r="E23" s="312">
        <v>1</v>
      </c>
    </row>
    <row r="24" spans="2:22" ht="15" x14ac:dyDescent="0.25">
      <c r="B24">
        <v>2031</v>
      </c>
      <c r="C24" s="311">
        <v>20.790969820149087</v>
      </c>
      <c r="D24" s="311">
        <v>0</v>
      </c>
      <c r="E24" s="312">
        <v>1</v>
      </c>
    </row>
    <row r="25" spans="2:22" ht="15.75" thickBot="1" x14ac:dyDescent="0.3">
      <c r="B25">
        <v>2032</v>
      </c>
      <c r="C25" s="311">
        <v>22.699139028927302</v>
      </c>
      <c r="D25" s="311">
        <v>0</v>
      </c>
      <c r="E25" s="313">
        <v>1</v>
      </c>
    </row>
    <row r="26" spans="2:22" ht="15" x14ac:dyDescent="0.25">
      <c r="C26" s="97"/>
      <c r="D26" s="287"/>
      <c r="N26" s="314" t="s">
        <v>142</v>
      </c>
      <c r="O26" s="314"/>
      <c r="P26" s="314"/>
      <c r="Q26" s="314"/>
      <c r="R26" s="343">
        <f>(M36+N36+O36+P36+Q36+R36+S36+T36+U36+V36)/10</f>
        <v>69.320999999999998</v>
      </c>
    </row>
    <row r="27" spans="2:22" ht="15" x14ac:dyDescent="0.25">
      <c r="C27" s="30"/>
    </row>
    <row r="28" spans="2:22" ht="15.75" thickBot="1" x14ac:dyDescent="0.3">
      <c r="B28" s="42"/>
      <c r="C28" s="42"/>
      <c r="D28" s="42"/>
      <c r="E28" s="42"/>
      <c r="F28" s="42"/>
      <c r="G28" s="42"/>
      <c r="H28" s="42"/>
      <c r="I28" s="42"/>
    </row>
    <row r="29" spans="2:22" ht="15" x14ac:dyDescent="0.25">
      <c r="B29" s="43" t="s">
        <v>139</v>
      </c>
      <c r="C29" s="44"/>
      <c r="D29" s="44"/>
      <c r="E29" s="44"/>
      <c r="F29" s="46"/>
      <c r="G29" s="44"/>
      <c r="H29" s="44"/>
      <c r="I29" s="45"/>
      <c r="J29" s="12"/>
      <c r="K29" s="49"/>
      <c r="L29" s="49"/>
      <c r="M29" s="350" t="s">
        <v>163</v>
      </c>
      <c r="N29" s="350"/>
      <c r="O29" s="350"/>
      <c r="P29" s="350"/>
      <c r="Q29" s="350"/>
      <c r="R29" s="350"/>
    </row>
    <row r="30" spans="2:22" ht="15" x14ac:dyDescent="0.25">
      <c r="B30" s="51"/>
      <c r="C30" s="12"/>
      <c r="D30" s="12"/>
      <c r="E30" s="49"/>
      <c r="F30" s="49"/>
      <c r="G30" s="12"/>
      <c r="H30" s="331"/>
      <c r="I30" s="50"/>
      <c r="J30" s="49"/>
      <c r="K30" s="12"/>
      <c r="L30" s="344"/>
      <c r="M30" s="345">
        <v>2010</v>
      </c>
      <c r="N30" s="345">
        <v>2010</v>
      </c>
      <c r="O30" s="345">
        <v>2010</v>
      </c>
      <c r="P30" s="345">
        <v>2010</v>
      </c>
      <c r="Q30" s="345">
        <v>2010</v>
      </c>
      <c r="R30" s="345">
        <v>2011</v>
      </c>
      <c r="S30" s="345" t="s">
        <v>164</v>
      </c>
      <c r="T30" s="345" t="s">
        <v>164</v>
      </c>
      <c r="U30" s="345" t="s">
        <v>164</v>
      </c>
      <c r="V30" s="345" t="s">
        <v>19</v>
      </c>
    </row>
    <row r="31" spans="2:22" ht="15" x14ac:dyDescent="0.25">
      <c r="B31" s="48"/>
      <c r="C31" s="331">
        <v>2010</v>
      </c>
      <c r="D31" s="331">
        <v>2010</v>
      </c>
      <c r="E31" s="331">
        <v>2010</v>
      </c>
      <c r="F31" s="331">
        <v>2010</v>
      </c>
      <c r="G31" s="331">
        <v>2010</v>
      </c>
      <c r="H31" s="331">
        <v>2011</v>
      </c>
      <c r="I31" s="52" t="s">
        <v>138</v>
      </c>
      <c r="J31" s="49"/>
      <c r="K31" s="49"/>
      <c r="L31" s="346"/>
      <c r="M31" s="345" t="s">
        <v>186</v>
      </c>
      <c r="N31" s="345" t="s">
        <v>155</v>
      </c>
      <c r="O31" s="345" t="s">
        <v>187</v>
      </c>
      <c r="P31" s="345" t="s">
        <v>157</v>
      </c>
      <c r="Q31" s="345" t="s">
        <v>158</v>
      </c>
      <c r="R31" s="345" t="s">
        <v>159</v>
      </c>
      <c r="S31" s="347" t="s">
        <v>141</v>
      </c>
      <c r="T31" s="347" t="s">
        <v>165</v>
      </c>
      <c r="U31" s="347" t="s">
        <v>184</v>
      </c>
      <c r="V31" s="347" t="s">
        <v>185</v>
      </c>
    </row>
    <row r="32" spans="2:22" ht="15" x14ac:dyDescent="0.25">
      <c r="B32" s="48"/>
      <c r="C32" s="331" t="s">
        <v>154</v>
      </c>
      <c r="D32" s="331" t="s">
        <v>155</v>
      </c>
      <c r="E32" s="331" t="s">
        <v>156</v>
      </c>
      <c r="F32" s="331" t="s">
        <v>157</v>
      </c>
      <c r="G32" s="331" t="s">
        <v>158</v>
      </c>
      <c r="H32" s="331" t="s">
        <v>159</v>
      </c>
      <c r="I32" s="52" t="s">
        <v>140</v>
      </c>
      <c r="J32" s="49"/>
      <c r="K32" s="312"/>
      <c r="L32" s="348"/>
      <c r="M32" s="345" t="s">
        <v>182</v>
      </c>
      <c r="N32" s="345" t="s">
        <v>182</v>
      </c>
      <c r="O32" s="345" t="s">
        <v>182</v>
      </c>
      <c r="P32" s="345" t="s">
        <v>182</v>
      </c>
      <c r="Q32" s="345" t="s">
        <v>182</v>
      </c>
      <c r="R32" s="345" t="s">
        <v>182</v>
      </c>
      <c r="S32" s="345" t="s">
        <v>182</v>
      </c>
      <c r="T32" s="345" t="s">
        <v>183</v>
      </c>
      <c r="U32" s="347" t="s">
        <v>183</v>
      </c>
      <c r="V32" s="347" t="s">
        <v>183</v>
      </c>
    </row>
    <row r="33" spans="2:22" ht="15" x14ac:dyDescent="0.25">
      <c r="B33" s="48"/>
      <c r="C33" s="12"/>
      <c r="D33" s="12"/>
      <c r="E33" s="12"/>
      <c r="F33" s="12"/>
      <c r="G33" s="12"/>
      <c r="H33" s="12"/>
      <c r="I33" s="52"/>
      <c r="J33" s="49"/>
      <c r="K33" s="312"/>
      <c r="L33" s="348" t="s">
        <v>175</v>
      </c>
      <c r="M33" s="345">
        <v>50.21</v>
      </c>
      <c r="N33" s="345">
        <v>48.95</v>
      </c>
      <c r="O33" s="345">
        <v>52.1</v>
      </c>
      <c r="P33" s="349">
        <v>50.54</v>
      </c>
      <c r="Q33" s="345">
        <v>56.63</v>
      </c>
      <c r="R33" s="345">
        <v>41.38</v>
      </c>
      <c r="S33" s="347">
        <v>60.72</v>
      </c>
      <c r="T33" s="347">
        <v>57.09</v>
      </c>
      <c r="U33" s="347">
        <v>81.47</v>
      </c>
      <c r="V33" s="347">
        <v>75.52</v>
      </c>
    </row>
    <row r="34" spans="2:22" ht="15" x14ac:dyDescent="0.25">
      <c r="B34" s="48">
        <v>2013</v>
      </c>
      <c r="C34" s="12">
        <v>6.24</v>
      </c>
      <c r="D34" s="12">
        <v>6.23</v>
      </c>
      <c r="E34" s="12">
        <v>6.26</v>
      </c>
      <c r="F34" s="12">
        <v>6.29</v>
      </c>
      <c r="G34" s="12">
        <v>7.03</v>
      </c>
      <c r="H34" s="12">
        <v>4.51</v>
      </c>
      <c r="I34" s="311">
        <v>4.8574740760100674</v>
      </c>
      <c r="J34" s="49"/>
      <c r="K34" s="312"/>
      <c r="L34" s="348" t="s">
        <v>176</v>
      </c>
      <c r="M34" s="345">
        <v>7.5</v>
      </c>
      <c r="N34" s="345">
        <v>7.5</v>
      </c>
      <c r="O34" s="345">
        <v>7.5</v>
      </c>
      <c r="P34" s="345">
        <v>7.5</v>
      </c>
      <c r="Q34" s="345">
        <v>7.5</v>
      </c>
      <c r="R34" s="345">
        <v>7.5</v>
      </c>
      <c r="S34" s="345">
        <v>7.5</v>
      </c>
      <c r="T34" s="345">
        <v>7.5</v>
      </c>
      <c r="U34" s="347">
        <v>7.5</v>
      </c>
      <c r="V34" s="347">
        <v>0</v>
      </c>
    </row>
    <row r="35" spans="2:22" ht="15" x14ac:dyDescent="0.25">
      <c r="B35" s="48">
        <v>2014</v>
      </c>
      <c r="C35" s="12">
        <v>6.24</v>
      </c>
      <c r="D35" s="12">
        <v>6.2</v>
      </c>
      <c r="E35" s="12">
        <v>6.27</v>
      </c>
      <c r="F35" s="12">
        <v>6.28</v>
      </c>
      <c r="G35" s="12">
        <v>7.17</v>
      </c>
      <c r="H35" s="12">
        <v>4.5199999999999996</v>
      </c>
      <c r="I35" s="311">
        <v>4.9151008881467142</v>
      </c>
      <c r="J35" s="49"/>
      <c r="K35" s="312"/>
      <c r="L35" s="348" t="s">
        <v>177</v>
      </c>
      <c r="M35" s="345">
        <v>7.3</v>
      </c>
      <c r="N35" s="345">
        <v>7.3</v>
      </c>
      <c r="O35" s="345">
        <v>7.3</v>
      </c>
      <c r="P35" s="345">
        <v>7.3</v>
      </c>
      <c r="Q35" s="345">
        <v>7.3</v>
      </c>
      <c r="R35" s="345">
        <v>7.3</v>
      </c>
      <c r="S35" s="345">
        <v>7.3</v>
      </c>
      <c r="T35" s="345">
        <v>0</v>
      </c>
      <c r="U35" s="347">
        <v>0</v>
      </c>
      <c r="V35" s="347">
        <v>0</v>
      </c>
    </row>
    <row r="36" spans="2:22" ht="15" x14ac:dyDescent="0.25">
      <c r="B36" s="48">
        <v>2015</v>
      </c>
      <c r="C36" s="12">
        <v>6.49</v>
      </c>
      <c r="D36" s="12">
        <v>6.4</v>
      </c>
      <c r="E36" s="12">
        <v>6.56</v>
      </c>
      <c r="F36" s="12">
        <v>6.53</v>
      </c>
      <c r="G36" s="12">
        <v>7.42</v>
      </c>
      <c r="H36" s="12">
        <v>4.71</v>
      </c>
      <c r="I36" s="311">
        <v>5.2675347023949772</v>
      </c>
      <c r="J36" s="49"/>
      <c r="K36" s="312"/>
      <c r="L36" s="348" t="s">
        <v>181</v>
      </c>
      <c r="M36" s="345">
        <f>SUM(M33:M35)</f>
        <v>65.010000000000005</v>
      </c>
      <c r="N36" s="345">
        <f t="shared" ref="N36:V36" si="0">SUM(N33:N35)</f>
        <v>63.75</v>
      </c>
      <c r="O36" s="345">
        <f t="shared" si="0"/>
        <v>66.900000000000006</v>
      </c>
      <c r="P36" s="345">
        <f t="shared" si="0"/>
        <v>65.34</v>
      </c>
      <c r="Q36" s="345">
        <f t="shared" si="0"/>
        <v>71.429999999999993</v>
      </c>
      <c r="R36" s="345">
        <f t="shared" si="0"/>
        <v>56.18</v>
      </c>
      <c r="S36" s="345">
        <f t="shared" si="0"/>
        <v>75.52</v>
      </c>
      <c r="T36" s="345">
        <f t="shared" si="0"/>
        <v>64.59</v>
      </c>
      <c r="U36" s="345">
        <f t="shared" si="0"/>
        <v>88.97</v>
      </c>
      <c r="V36" s="345">
        <f t="shared" si="0"/>
        <v>75.52</v>
      </c>
    </row>
    <row r="37" spans="2:22" ht="15" x14ac:dyDescent="0.25">
      <c r="B37" s="48">
        <v>2016</v>
      </c>
      <c r="C37" s="12">
        <v>6.68</v>
      </c>
      <c r="D37" s="12">
        <v>6.53</v>
      </c>
      <c r="E37" s="12">
        <v>6.76</v>
      </c>
      <c r="F37" s="12">
        <v>6.72</v>
      </c>
      <c r="G37" s="12">
        <v>7.61</v>
      </c>
      <c r="H37" s="12">
        <v>4.97</v>
      </c>
      <c r="I37" s="50">
        <v>5.57</v>
      </c>
      <c r="J37" s="49"/>
      <c r="K37" s="312"/>
      <c r="L37" s="312"/>
      <c r="N37" s="12"/>
      <c r="O37" s="12"/>
      <c r="P37" s="12"/>
      <c r="Q37" s="12"/>
      <c r="R37" s="12"/>
    </row>
    <row r="38" spans="2:22" ht="15" x14ac:dyDescent="0.25">
      <c r="B38" s="48">
        <v>2017</v>
      </c>
      <c r="C38" s="12">
        <v>6.83</v>
      </c>
      <c r="D38" s="12">
        <v>6.6</v>
      </c>
      <c r="E38" s="12">
        <v>6.91</v>
      </c>
      <c r="F38" s="12">
        <v>6.86</v>
      </c>
      <c r="G38" s="12">
        <v>7.76</v>
      </c>
      <c r="H38" s="12">
        <v>5.24</v>
      </c>
      <c r="I38" s="311">
        <v>6.0812076341236505</v>
      </c>
      <c r="J38" s="49"/>
      <c r="K38" s="312"/>
      <c r="L38" s="312"/>
      <c r="M38" t="s">
        <v>166</v>
      </c>
      <c r="N38" s="12"/>
      <c r="O38" s="12"/>
      <c r="P38" s="12"/>
      <c r="Q38" s="12"/>
      <c r="R38" s="12"/>
    </row>
    <row r="39" spans="2:22" ht="15" x14ac:dyDescent="0.25">
      <c r="B39" s="48">
        <v>2018</v>
      </c>
      <c r="C39" s="12">
        <v>7.01</v>
      </c>
      <c r="D39" s="12">
        <v>6.83</v>
      </c>
      <c r="E39" s="12">
        <v>7.13</v>
      </c>
      <c r="F39" s="12">
        <v>7.05</v>
      </c>
      <c r="G39" s="12">
        <v>7.98</v>
      </c>
      <c r="H39" s="12">
        <v>5.48</v>
      </c>
      <c r="I39" s="311">
        <v>6.6393332655877497</v>
      </c>
      <c r="J39" s="49"/>
      <c r="K39" s="312"/>
      <c r="L39" s="312"/>
      <c r="N39" s="12" t="s">
        <v>167</v>
      </c>
      <c r="O39" s="12"/>
      <c r="P39" s="336">
        <v>70500000</v>
      </c>
      <c r="Q39" s="12"/>
      <c r="R39" s="12"/>
    </row>
    <row r="40" spans="2:22" ht="15" x14ac:dyDescent="0.25">
      <c r="B40" s="48">
        <v>2019</v>
      </c>
      <c r="C40" s="12">
        <v>7.2</v>
      </c>
      <c r="D40" s="12">
        <v>7.01</v>
      </c>
      <c r="E40" s="12">
        <v>7.37</v>
      </c>
      <c r="F40" s="12">
        <v>7.26</v>
      </c>
      <c r="G40" s="12">
        <v>8.2799999999999994</v>
      </c>
      <c r="H40" s="12">
        <v>5.71</v>
      </c>
      <c r="I40" s="311">
        <v>7.2486829695122692</v>
      </c>
      <c r="J40" s="49"/>
      <c r="K40" s="312"/>
      <c r="L40" s="312"/>
      <c r="N40" s="12" t="s">
        <v>168</v>
      </c>
      <c r="O40" s="12"/>
      <c r="P40" s="12">
        <v>50</v>
      </c>
      <c r="Q40" s="12"/>
      <c r="R40" s="12"/>
    </row>
    <row r="41" spans="2:22" ht="15" x14ac:dyDescent="0.25">
      <c r="B41" s="48">
        <v>2020</v>
      </c>
      <c r="C41" s="12">
        <v>7.45</v>
      </c>
      <c r="D41" s="12">
        <v>7.25</v>
      </c>
      <c r="E41" s="12">
        <v>7.67</v>
      </c>
      <c r="F41" s="12">
        <v>7.48</v>
      </c>
      <c r="G41" s="12">
        <v>8.3699999999999992</v>
      </c>
      <c r="H41" s="12">
        <v>5.98</v>
      </c>
      <c r="I41" s="311">
        <v>7.9139580272064807</v>
      </c>
      <c r="J41" s="49"/>
      <c r="K41" s="312"/>
      <c r="L41" s="312"/>
      <c r="N41" s="12"/>
      <c r="O41" s="12"/>
      <c r="P41" s="351"/>
      <c r="Q41" s="351"/>
      <c r="R41" s="12"/>
    </row>
    <row r="42" spans="2:22" ht="15" x14ac:dyDescent="0.25">
      <c r="B42" s="48">
        <v>2021</v>
      </c>
      <c r="C42" s="12">
        <v>7.7</v>
      </c>
      <c r="D42" s="12">
        <v>7.31</v>
      </c>
      <c r="E42" s="12">
        <v>8.0500000000000007</v>
      </c>
      <c r="F42" s="12">
        <v>7.77</v>
      </c>
      <c r="G42" s="12">
        <v>8.36</v>
      </c>
      <c r="H42" s="12">
        <v>6.25</v>
      </c>
      <c r="I42" s="311">
        <v>8.6402911976987777</v>
      </c>
      <c r="J42" s="49"/>
      <c r="K42" s="312"/>
      <c r="L42" s="312"/>
      <c r="N42" s="12" t="s">
        <v>169</v>
      </c>
      <c r="O42" s="12"/>
      <c r="P42" s="337">
        <f>P39/P40</f>
        <v>1410000</v>
      </c>
      <c r="Q42" s="331"/>
      <c r="R42" s="12"/>
    </row>
    <row r="43" spans="2:22" ht="15" x14ac:dyDescent="0.25">
      <c r="B43" s="48">
        <v>2022</v>
      </c>
      <c r="C43" s="12">
        <v>8.1</v>
      </c>
      <c r="D43" s="12">
        <v>7.34</v>
      </c>
      <c r="E43" s="12">
        <v>8.27</v>
      </c>
      <c r="F43" s="12">
        <v>7.95</v>
      </c>
      <c r="G43" s="12">
        <v>8.67</v>
      </c>
      <c r="H43" s="12">
        <v>6.56</v>
      </c>
      <c r="I43" s="311">
        <v>9.4332863182221161</v>
      </c>
      <c r="J43" s="49"/>
      <c r="K43" s="312"/>
      <c r="L43" s="312"/>
      <c r="N43" s="33" t="s">
        <v>170</v>
      </c>
      <c r="O43" s="12"/>
      <c r="P43" s="338">
        <v>0.1</v>
      </c>
      <c r="Q43" s="331"/>
      <c r="R43" s="12"/>
    </row>
    <row r="44" spans="2:22" ht="15" x14ac:dyDescent="0.25">
      <c r="B44" s="48">
        <v>2023</v>
      </c>
      <c r="C44" s="12">
        <v>8.26</v>
      </c>
      <c r="D44" s="12">
        <v>7.64</v>
      </c>
      <c r="E44" s="12">
        <v>8.33</v>
      </c>
      <c r="F44" s="12">
        <v>7.97</v>
      </c>
      <c r="G44" s="12">
        <v>9.1999999999999993</v>
      </c>
      <c r="H44" s="12">
        <v>6.91</v>
      </c>
      <c r="I44" s="311">
        <v>10.2990615391825</v>
      </c>
      <c r="J44" s="49"/>
      <c r="K44" s="312"/>
      <c r="L44" s="312"/>
      <c r="N44" s="339" t="s">
        <v>171</v>
      </c>
      <c r="O44" s="12"/>
      <c r="P44" s="340">
        <f>P42*P43</f>
        <v>141000</v>
      </c>
      <c r="Q44" s="329"/>
      <c r="R44" s="12"/>
    </row>
    <row r="45" spans="2:22" x14ac:dyDescent="0.3">
      <c r="B45" s="48">
        <v>2024</v>
      </c>
      <c r="C45" s="12">
        <v>8.25</v>
      </c>
      <c r="D45" s="12">
        <v>8.02</v>
      </c>
      <c r="E45" s="12">
        <v>8.52</v>
      </c>
      <c r="F45" s="12">
        <v>8.25</v>
      </c>
      <c r="G45" s="12">
        <v>9.64</v>
      </c>
      <c r="H45" s="12">
        <v>7.23</v>
      </c>
      <c r="I45" s="311">
        <v>11.244296527178793</v>
      </c>
      <c r="J45" s="49"/>
      <c r="K45" s="312"/>
      <c r="L45" s="312"/>
      <c r="N45" s="339"/>
      <c r="O45" s="12"/>
      <c r="P45" s="329"/>
      <c r="Q45" s="329"/>
      <c r="R45" s="12"/>
      <c r="T45" t="s">
        <v>180</v>
      </c>
    </row>
    <row r="46" spans="2:22" x14ac:dyDescent="0.3">
      <c r="B46" s="48">
        <v>2025</v>
      </c>
      <c r="C46" s="12">
        <v>8.4600000000000009</v>
      </c>
      <c r="D46" s="12">
        <v>8.5299999999999994</v>
      </c>
      <c r="E46" s="12">
        <v>9.06</v>
      </c>
      <c r="F46" s="12">
        <v>8.6300000000000008</v>
      </c>
      <c r="G46" s="12">
        <v>10.1</v>
      </c>
      <c r="H46" s="12">
        <v>7.55</v>
      </c>
      <c r="I46" s="311">
        <v>12.276284000256682</v>
      </c>
      <c r="J46" s="49"/>
      <c r="K46" s="312"/>
      <c r="L46" s="312"/>
      <c r="N46" s="33" t="s">
        <v>179</v>
      </c>
      <c r="O46" s="12"/>
      <c r="P46" s="341">
        <f>0.2*19.5*P44</f>
        <v>549900</v>
      </c>
      <c r="Q46" s="12" t="s">
        <v>172</v>
      </c>
      <c r="R46" s="12"/>
      <c r="T46" t="s">
        <v>175</v>
      </c>
    </row>
    <row r="47" spans="2:22" x14ac:dyDescent="0.3">
      <c r="B47" s="48">
        <v>2026</v>
      </c>
      <c r="C47" s="12">
        <v>8.91</v>
      </c>
      <c r="D47" s="12">
        <v>8.9499999999999993</v>
      </c>
      <c r="E47" s="12">
        <v>9.58</v>
      </c>
      <c r="F47" s="12">
        <v>9.06</v>
      </c>
      <c r="G47" s="12">
        <v>10.53</v>
      </c>
      <c r="H47" s="12">
        <v>7.84</v>
      </c>
      <c r="I47" s="311">
        <v>13.402985993003764</v>
      </c>
      <c r="J47" s="49"/>
      <c r="K47" s="312"/>
      <c r="L47" s="312"/>
      <c r="N47" s="12"/>
      <c r="O47" s="12"/>
      <c r="P47" s="342">
        <f>P46/T48</f>
        <v>7.3163138231631377</v>
      </c>
      <c r="Q47" s="12" t="s">
        <v>178</v>
      </c>
      <c r="R47" s="12"/>
      <c r="T47" t="s">
        <v>1</v>
      </c>
    </row>
    <row r="48" spans="2:22" x14ac:dyDescent="0.3">
      <c r="B48" s="48">
        <v>2027</v>
      </c>
      <c r="C48" s="12">
        <v>9.36</v>
      </c>
      <c r="D48" s="12">
        <v>9.36</v>
      </c>
      <c r="E48" s="12">
        <v>10.18</v>
      </c>
      <c r="F48" s="12">
        <v>9.56</v>
      </c>
      <c r="G48" s="12">
        <v>11.05</v>
      </c>
      <c r="H48" s="12">
        <v>8.14</v>
      </c>
      <c r="I48" s="311">
        <v>14.633095285584714</v>
      </c>
      <c r="J48" s="49"/>
      <c r="K48" s="312"/>
      <c r="L48" s="312"/>
      <c r="N48" s="12"/>
      <c r="O48" s="12"/>
      <c r="P48" s="12"/>
      <c r="Q48" s="12"/>
      <c r="R48" s="12"/>
      <c r="T48">
        <f>19.5*8760*0.44</f>
        <v>75160.800000000003</v>
      </c>
    </row>
    <row r="49" spans="2:18" x14ac:dyDescent="0.3">
      <c r="B49" s="48">
        <v>2028</v>
      </c>
      <c r="C49" s="12">
        <v>9.89</v>
      </c>
      <c r="D49" s="12">
        <v>9.8699999999999992</v>
      </c>
      <c r="E49" s="12">
        <v>10.73</v>
      </c>
      <c r="F49" s="12">
        <v>10.11</v>
      </c>
      <c r="G49" s="12">
        <v>11.61</v>
      </c>
      <c r="H49" s="12">
        <v>8.4499999999999993</v>
      </c>
      <c r="I49" s="311">
        <v>15.976102470656471</v>
      </c>
      <c r="J49" s="49"/>
      <c r="K49" s="312"/>
      <c r="L49" s="312"/>
      <c r="M49" t="s">
        <v>173</v>
      </c>
      <c r="N49" s="12"/>
      <c r="O49" s="12" t="s">
        <v>174</v>
      </c>
      <c r="P49" s="12"/>
      <c r="Q49" s="12"/>
      <c r="R49" s="12"/>
    </row>
    <row r="50" spans="2:18" x14ac:dyDescent="0.3">
      <c r="B50" s="48">
        <v>2029</v>
      </c>
      <c r="C50" s="12">
        <v>10.39</v>
      </c>
      <c r="D50" s="12">
        <v>10.35</v>
      </c>
      <c r="E50" s="12">
        <v>11.31</v>
      </c>
      <c r="F50" s="12">
        <v>10.6</v>
      </c>
      <c r="G50" s="12">
        <v>12.29</v>
      </c>
      <c r="H50" s="12">
        <v>8.75</v>
      </c>
      <c r="I50" s="311">
        <v>17.442369175601048</v>
      </c>
      <c r="J50" s="49"/>
      <c r="K50" s="312"/>
      <c r="L50" s="312"/>
      <c r="N50" s="12"/>
      <c r="O50" s="12"/>
      <c r="P50" s="351"/>
      <c r="Q50" s="351"/>
      <c r="R50" s="12"/>
    </row>
    <row r="51" spans="2:18" x14ac:dyDescent="0.3">
      <c r="B51" s="48">
        <v>2030</v>
      </c>
      <c r="C51" s="12">
        <v>11</v>
      </c>
      <c r="D51" s="12">
        <v>10.77</v>
      </c>
      <c r="E51" s="12">
        <v>12.02</v>
      </c>
      <c r="F51" s="12">
        <v>11.23</v>
      </c>
      <c r="G51" s="12">
        <v>12.72</v>
      </c>
      <c r="H51" s="12">
        <v>9.0299999999999994</v>
      </c>
      <c r="I51" s="311">
        <v>19.043208005003258</v>
      </c>
      <c r="J51" s="49"/>
      <c r="K51" s="312"/>
      <c r="L51" s="312"/>
      <c r="N51" s="12"/>
      <c r="O51" s="12"/>
      <c r="P51" s="331"/>
      <c r="Q51" s="331"/>
      <c r="R51" s="12"/>
    </row>
    <row r="52" spans="2:18" x14ac:dyDescent="0.3">
      <c r="B52" s="48">
        <v>2031</v>
      </c>
      <c r="C52" s="12">
        <v>11.7</v>
      </c>
      <c r="D52" s="12">
        <v>11.19</v>
      </c>
      <c r="E52" s="12">
        <v>12.66</v>
      </c>
      <c r="F52" s="12">
        <v>11.92</v>
      </c>
      <c r="G52" s="12">
        <v>13.16</v>
      </c>
      <c r="H52" s="12">
        <v>9.33</v>
      </c>
      <c r="I52" s="311">
        <v>20.790969820149087</v>
      </c>
      <c r="L52" s="312"/>
      <c r="N52" s="12"/>
      <c r="O52" s="12"/>
      <c r="P52" s="332"/>
      <c r="Q52" s="331"/>
      <c r="R52" s="12"/>
    </row>
    <row r="53" spans="2:18" x14ac:dyDescent="0.3">
      <c r="B53" s="48">
        <v>2032</v>
      </c>
      <c r="C53" s="12">
        <v>12.19</v>
      </c>
      <c r="D53" s="12">
        <v>11.25</v>
      </c>
      <c r="E53" s="12">
        <v>13.24</v>
      </c>
      <c r="F53" s="12">
        <v>12.46</v>
      </c>
      <c r="G53" s="12">
        <v>13.65</v>
      </c>
      <c r="H53" s="12">
        <v>9.69</v>
      </c>
      <c r="I53" s="311">
        <v>22.699139028927302</v>
      </c>
      <c r="N53" s="352"/>
      <c r="O53" s="12"/>
      <c r="P53" s="329"/>
      <c r="Q53" s="329"/>
      <c r="R53" s="12"/>
    </row>
    <row r="54" spans="2:18" ht="15" thickBot="1" x14ac:dyDescent="0.35">
      <c r="B54" s="279"/>
      <c r="C54" s="152"/>
      <c r="D54" s="152"/>
      <c r="E54" s="152"/>
      <c r="F54" s="152"/>
      <c r="G54" s="152"/>
      <c r="H54" s="152"/>
      <c r="I54" s="280"/>
      <c r="N54" s="352"/>
      <c r="O54" s="12"/>
      <c r="P54" s="329"/>
      <c r="Q54" s="329"/>
      <c r="R54" s="12"/>
    </row>
    <row r="55" spans="2:18" x14ac:dyDescent="0.3">
      <c r="B55" s="12"/>
      <c r="C55" s="12"/>
      <c r="D55" s="12"/>
      <c r="E55" s="12"/>
      <c r="F55" s="12"/>
      <c r="G55" s="12"/>
      <c r="N55" s="12"/>
      <c r="O55" s="12"/>
      <c r="P55" s="12"/>
      <c r="Q55" s="12"/>
      <c r="R55" s="12"/>
    </row>
    <row r="56" spans="2:18" x14ac:dyDescent="0.3">
      <c r="B56" s="49"/>
      <c r="C56" s="234"/>
      <c r="D56" s="12"/>
      <c r="E56" s="12"/>
      <c r="F56" s="49"/>
      <c r="G56" s="234"/>
    </row>
    <row r="57" spans="2:18" x14ac:dyDescent="0.3">
      <c r="B57" s="49"/>
      <c r="C57" s="234"/>
      <c r="D57" s="12"/>
      <c r="E57" s="12"/>
      <c r="F57" s="49"/>
      <c r="G57" s="234"/>
    </row>
    <row r="58" spans="2:18" x14ac:dyDescent="0.3">
      <c r="B58" s="49"/>
      <c r="C58" s="234"/>
      <c r="D58" s="12"/>
      <c r="E58" s="12"/>
      <c r="F58" s="49"/>
      <c r="G58" s="234"/>
    </row>
    <row r="59" spans="2:18" x14ac:dyDescent="0.3">
      <c r="B59" s="49"/>
      <c r="C59" s="234"/>
      <c r="D59" s="12"/>
      <c r="E59" s="12"/>
      <c r="F59" s="49"/>
      <c r="G59" s="234"/>
    </row>
    <row r="60" spans="2:18" x14ac:dyDescent="0.3">
      <c r="B60" s="49"/>
      <c r="C60" s="234"/>
      <c r="D60" s="12"/>
      <c r="E60" s="12"/>
      <c r="F60" s="49"/>
      <c r="G60" s="234"/>
    </row>
    <row r="61" spans="2:18" x14ac:dyDescent="0.3">
      <c r="B61" s="49"/>
      <c r="C61" s="234"/>
      <c r="D61" s="12"/>
      <c r="E61" s="12"/>
      <c r="F61" s="49"/>
      <c r="G61" s="234"/>
    </row>
    <row r="62" spans="2:18" x14ac:dyDescent="0.3">
      <c r="B62" s="49"/>
      <c r="C62" s="234"/>
      <c r="D62" s="12"/>
      <c r="E62" s="12"/>
      <c r="F62" s="49"/>
      <c r="G62" s="234"/>
    </row>
    <row r="63" spans="2:18" x14ac:dyDescent="0.3">
      <c r="B63" s="49"/>
      <c r="C63" s="234"/>
      <c r="D63" s="12"/>
      <c r="E63" s="12"/>
      <c r="F63" s="49"/>
      <c r="G63" s="234"/>
    </row>
    <row r="64" spans="2:18" x14ac:dyDescent="0.3">
      <c r="B64" s="49"/>
      <c r="C64" s="234"/>
      <c r="D64" s="12"/>
      <c r="E64" s="12"/>
      <c r="F64" s="49"/>
      <c r="G64" s="234"/>
    </row>
    <row r="65" spans="2:8" x14ac:dyDescent="0.3">
      <c r="B65" s="49"/>
      <c r="C65" s="234"/>
      <c r="D65" s="12"/>
      <c r="E65" s="12"/>
      <c r="F65" s="49"/>
      <c r="G65" s="234"/>
    </row>
    <row r="66" spans="2:8" x14ac:dyDescent="0.3">
      <c r="B66" s="49"/>
      <c r="C66" s="234"/>
      <c r="D66" s="12"/>
      <c r="E66" s="12"/>
      <c r="F66" s="49"/>
      <c r="G66" s="234"/>
    </row>
    <row r="67" spans="2:8" x14ac:dyDescent="0.3">
      <c r="B67" s="49"/>
      <c r="C67" s="234"/>
      <c r="D67" s="12"/>
      <c r="E67" s="12"/>
      <c r="F67" s="49"/>
      <c r="G67" s="234"/>
    </row>
    <row r="68" spans="2:8" x14ac:dyDescent="0.3">
      <c r="B68" s="49"/>
      <c r="C68" s="234"/>
      <c r="D68" s="12"/>
      <c r="E68" s="12"/>
      <c r="F68" s="49"/>
      <c r="G68" s="234"/>
    </row>
    <row r="69" spans="2:8" x14ac:dyDescent="0.3">
      <c r="B69" s="49"/>
      <c r="C69" s="234"/>
      <c r="D69" s="12"/>
      <c r="E69" s="12"/>
      <c r="F69" s="49"/>
      <c r="G69" s="234"/>
    </row>
    <row r="70" spans="2:8" x14ac:dyDescent="0.3">
      <c r="B70" s="49"/>
      <c r="C70" s="234"/>
      <c r="D70" s="12"/>
      <c r="E70" s="12"/>
      <c r="F70" s="49"/>
      <c r="G70" s="234"/>
    </row>
    <row r="71" spans="2:8" x14ac:dyDescent="0.3">
      <c r="B71" s="49"/>
      <c r="C71" s="234"/>
      <c r="D71" s="12"/>
      <c r="E71" s="12"/>
      <c r="F71" s="49"/>
      <c r="G71" s="234"/>
    </row>
    <row r="72" spans="2:8" x14ac:dyDescent="0.3">
      <c r="B72" s="49"/>
      <c r="C72" s="234"/>
      <c r="D72" s="12"/>
      <c r="E72" s="12"/>
      <c r="F72" s="49"/>
      <c r="G72" s="234"/>
    </row>
    <row r="73" spans="2:8" x14ac:dyDescent="0.3">
      <c r="B73" s="49"/>
      <c r="C73" s="234"/>
      <c r="D73" s="12"/>
      <c r="E73" s="12"/>
      <c r="F73" s="49"/>
      <c r="G73" s="234"/>
    </row>
    <row r="74" spans="2:8" x14ac:dyDescent="0.3">
      <c r="B74" s="49"/>
      <c r="C74" s="234"/>
      <c r="D74" s="12"/>
      <c r="E74" s="12"/>
      <c r="F74" s="49"/>
      <c r="G74" s="234"/>
    </row>
    <row r="75" spans="2:8" x14ac:dyDescent="0.3">
      <c r="B75" s="49"/>
      <c r="C75" s="234"/>
      <c r="D75" s="12"/>
      <c r="E75" s="12"/>
      <c r="F75" s="49"/>
      <c r="G75" s="234"/>
    </row>
    <row r="76" spans="2:8" x14ac:dyDescent="0.3">
      <c r="H76" s="30"/>
    </row>
    <row r="77" spans="2:8" x14ac:dyDescent="0.3">
      <c r="H77" s="30"/>
    </row>
  </sheetData>
  <mergeCells count="4">
    <mergeCell ref="M29:R29"/>
    <mergeCell ref="P41:Q41"/>
    <mergeCell ref="P50:Q50"/>
    <mergeCell ref="N53:N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6"/>
  <sheetViews>
    <sheetView workbookViewId="0">
      <selection activeCell="E7" sqref="E7"/>
    </sheetView>
  </sheetViews>
  <sheetFormatPr defaultRowHeight="14.4" x14ac:dyDescent="0.3"/>
  <cols>
    <col min="4" max="4" width="11.6640625" bestFit="1" customWidth="1"/>
    <col min="5" max="5" width="11.44140625" customWidth="1"/>
    <col min="6" max="6" width="18" bestFit="1" customWidth="1"/>
    <col min="9" max="9" width="13.88671875" bestFit="1" customWidth="1"/>
  </cols>
  <sheetData>
    <row r="2" spans="3:9" ht="15" x14ac:dyDescent="0.25">
      <c r="D2" t="s">
        <v>152</v>
      </c>
      <c r="F2" t="s">
        <v>20</v>
      </c>
    </row>
    <row r="3" spans="3:9" ht="15" x14ac:dyDescent="0.25">
      <c r="D3" t="s">
        <v>148</v>
      </c>
      <c r="F3" t="s">
        <v>21</v>
      </c>
    </row>
    <row r="4" spans="3:9" ht="15" x14ac:dyDescent="0.25">
      <c r="D4" t="s">
        <v>7</v>
      </c>
      <c r="E4" t="s">
        <v>31</v>
      </c>
      <c r="F4" t="s">
        <v>26</v>
      </c>
      <c r="G4" t="s">
        <v>33</v>
      </c>
      <c r="H4" t="s">
        <v>34</v>
      </c>
      <c r="I4" t="s">
        <v>19</v>
      </c>
    </row>
    <row r="5" spans="3:9" ht="15" x14ac:dyDescent="0.25">
      <c r="D5" t="s">
        <v>30</v>
      </c>
      <c r="E5" t="s">
        <v>32</v>
      </c>
      <c r="F5" t="s">
        <v>151</v>
      </c>
      <c r="I5" t="s">
        <v>2</v>
      </c>
    </row>
    <row r="6" spans="3:9" ht="15" x14ac:dyDescent="0.25">
      <c r="C6" t="s">
        <v>0</v>
      </c>
    </row>
    <row r="7" spans="3:9" ht="15" x14ac:dyDescent="0.25">
      <c r="C7">
        <v>2013</v>
      </c>
      <c r="D7" s="30">
        <f ca="1">IF('KeyInputs&amp;Result'!$P$2=2, LevelizedAvoidedCost!M37,LevelizedAvoidedCost!F37)</f>
        <v>33.812038200758771</v>
      </c>
      <c r="E7" s="30">
        <f ca="1">LevelizedAvoidedCost!I37</f>
        <v>23.35</v>
      </c>
      <c r="F7" s="36">
        <f>LevelizedAvoidedCost!B37</f>
        <v>0.56000000000000005</v>
      </c>
      <c r="G7" s="36">
        <f>LevelizedAvoidedCost!C37</f>
        <v>0.43999999999999995</v>
      </c>
      <c r="H7" s="30">
        <f ca="1">D7*F7+E7*G7</f>
        <v>29.208741392424912</v>
      </c>
      <c r="I7" s="37">
        <f ca="1">H7*LevelizedAvoidedCost!$J$29</f>
        <v>2238908.4452121542</v>
      </c>
    </row>
    <row r="8" spans="3:9" ht="15" x14ac:dyDescent="0.25">
      <c r="C8">
        <v>2014</v>
      </c>
      <c r="D8" s="30">
        <f ca="1">IF('KeyInputs&amp;Result'!$P$2=2, LevelizedAvoidedCost!M38,LevelizedAvoidedCost!F38)</f>
        <v>34.213168488406687</v>
      </c>
      <c r="E8" s="30">
        <f ca="1">LevelizedAvoidedCost!I38</f>
        <v>23.93375</v>
      </c>
      <c r="F8" s="36">
        <f>LevelizedAvoidedCost!B38</f>
        <v>0.6</v>
      </c>
      <c r="G8" s="36">
        <f>LevelizedAvoidedCost!C38</f>
        <v>0.4</v>
      </c>
      <c r="H8" s="30">
        <f t="shared" ref="H8:H26" ca="1" si="0">D8*F8+E8*G8</f>
        <v>30.101401093044011</v>
      </c>
      <c r="I8" s="37">
        <f ca="1">H8*LevelizedAvoidedCost!$J$29</f>
        <v>2307332.5965840095</v>
      </c>
    </row>
    <row r="9" spans="3:9" ht="15" x14ac:dyDescent="0.25">
      <c r="C9">
        <v>2015</v>
      </c>
      <c r="D9" s="30">
        <f ca="1">IF('KeyInputs&amp;Result'!$P$2=2, LevelizedAvoidedCost!M39,LevelizedAvoidedCost!F39)</f>
        <v>36.66639940721987</v>
      </c>
      <c r="E9" s="30">
        <f ca="1">LevelizedAvoidedCost!I39</f>
        <v>24.532093749999998</v>
      </c>
      <c r="F9" s="36">
        <f>LevelizedAvoidedCost!B39</f>
        <v>0.65</v>
      </c>
      <c r="G9" s="36">
        <f>LevelizedAvoidedCost!C39</f>
        <v>0.35</v>
      </c>
      <c r="H9" s="30">
        <f t="shared" ca="1" si="0"/>
        <v>32.419392427192918</v>
      </c>
      <c r="I9" s="37">
        <f ca="1">H9*LevelizedAvoidedCost!$J$29</f>
        <v>2485011.2683291915</v>
      </c>
    </row>
    <row r="10" spans="3:9" ht="15" x14ac:dyDescent="0.25">
      <c r="C10">
        <v>2016</v>
      </c>
      <c r="D10" s="30">
        <f ca="1">IF('KeyInputs&amp;Result'!$P$2=2, LevelizedAvoidedCost!M40,LevelizedAvoidedCost!F40)</f>
        <v>38.771808110795568</v>
      </c>
      <c r="E10" s="30">
        <f ca="1">LevelizedAvoidedCost!I40</f>
        <v>25.145396093749994</v>
      </c>
      <c r="F10" s="36">
        <f>LevelizedAvoidedCost!B40</f>
        <v>0.7</v>
      </c>
      <c r="G10" s="36">
        <f>LevelizedAvoidedCost!C40</f>
        <v>0.30000000000000004</v>
      </c>
      <c r="H10" s="30">
        <f t="shared" ca="1" si="0"/>
        <v>34.683884505681895</v>
      </c>
      <c r="I10" s="37">
        <f ca="1">H10*LevelizedAvoidedCost!$J$29</f>
        <v>2658589.1151295286</v>
      </c>
    </row>
    <row r="11" spans="3:9" ht="15" x14ac:dyDescent="0.25">
      <c r="C11">
        <v>2017</v>
      </c>
      <c r="D11" s="30">
        <f ca="1">IF('KeyInputs&amp;Result'!$P$2=2, LevelizedAvoidedCost!M41,LevelizedAvoidedCost!F41)</f>
        <v>42.330236170942058</v>
      </c>
      <c r="E11" s="30">
        <f ca="1">LevelizedAvoidedCost!I41</f>
        <v>30.586758681677239</v>
      </c>
      <c r="F11" s="36">
        <f>LevelizedAvoidedCost!B41</f>
        <v>0.74</v>
      </c>
      <c r="G11" s="36">
        <f>LevelizedAvoidedCost!C41</f>
        <v>0.26</v>
      </c>
      <c r="H11" s="30">
        <f t="shared" ca="1" si="0"/>
        <v>39.276932023733202</v>
      </c>
      <c r="I11" s="37">
        <f ca="1">H11*LevelizedAvoidedCost!$J$29</f>
        <v>3010655.3934831973</v>
      </c>
    </row>
    <row r="12" spans="3:9" ht="15" x14ac:dyDescent="0.25">
      <c r="C12">
        <v>2018</v>
      </c>
      <c r="D12" s="30">
        <f ca="1">IF('KeyInputs&amp;Result'!$P$2=2, LevelizedAvoidedCost!M42,LevelizedAvoidedCost!F42)</f>
        <v>46.439197705722165</v>
      </c>
      <c r="E12" s="30">
        <f ca="1">LevelizedAvoidedCost!I42</f>
        <v>31.351427648719167</v>
      </c>
      <c r="F12" s="36">
        <f>LevelizedAvoidedCost!B42</f>
        <v>0.79</v>
      </c>
      <c r="G12" s="36">
        <f>LevelizedAvoidedCost!C42</f>
        <v>0.20999999999999996</v>
      </c>
      <c r="H12" s="30">
        <f t="shared" ca="1" si="0"/>
        <v>43.270765993751539</v>
      </c>
      <c r="I12" s="37">
        <f ca="1">H12*LevelizedAvoidedCost!$J$29</f>
        <v>3316790.7549530431</v>
      </c>
    </row>
    <row r="13" spans="3:9" ht="15" x14ac:dyDescent="0.25">
      <c r="C13">
        <v>2019</v>
      </c>
      <c r="D13" s="30">
        <f ca="1">IF('KeyInputs&amp;Result'!$P$2=2, LevelizedAvoidedCost!M43,LevelizedAvoidedCost!F43)</f>
        <v>50.456830368028996</v>
      </c>
      <c r="E13" s="30">
        <f ca="1">LevelizedAvoidedCost!I43</f>
        <v>32.135213339937145</v>
      </c>
      <c r="F13" s="36">
        <f>LevelizedAvoidedCost!B43</f>
        <v>0.83</v>
      </c>
      <c r="G13" s="36">
        <f>LevelizedAvoidedCost!C43</f>
        <v>0.17000000000000004</v>
      </c>
      <c r="H13" s="30">
        <f t="shared" ca="1" si="0"/>
        <v>47.342155473253385</v>
      </c>
      <c r="I13" s="37">
        <f ca="1">H13*LevelizedAvoidedCost!$J$29</f>
        <v>3628870.9013358187</v>
      </c>
    </row>
    <row r="14" spans="3:9" ht="15" x14ac:dyDescent="0.25">
      <c r="C14">
        <v>2020</v>
      </c>
      <c r="D14" s="30">
        <f ca="1">IF('KeyInputs&amp;Result'!$P$2=2, LevelizedAvoidedCost!M44,LevelizedAvoidedCost!F44)</f>
        <v>55.087695157583461</v>
      </c>
      <c r="E14" s="30">
        <f ca="1">LevelizedAvoidedCost!I44</f>
        <v>32.93859367343557</v>
      </c>
      <c r="F14" s="36">
        <f>LevelizedAvoidedCost!B44</f>
        <v>0.88</v>
      </c>
      <c r="G14" s="36">
        <f>LevelizedAvoidedCost!C44</f>
        <v>0.12</v>
      </c>
      <c r="H14" s="30">
        <f t="shared" ca="1" si="0"/>
        <v>52.429802979485714</v>
      </c>
      <c r="I14" s="37">
        <f ca="1">H14*LevelizedAvoidedCost!$J$29</f>
        <v>4018849.2579835388</v>
      </c>
    </row>
    <row r="15" spans="3:9" ht="15" x14ac:dyDescent="0.25">
      <c r="C15">
        <v>2021</v>
      </c>
      <c r="D15" s="30">
        <f ca="1">IF('KeyInputs&amp;Result'!$P$2=2, LevelizedAvoidedCost!M45,LevelizedAvoidedCost!F45)</f>
        <v>60.143574926135187</v>
      </c>
      <c r="E15" s="30">
        <f ca="1">LevelizedAvoidedCost!I45</f>
        <v>33.762058515271455</v>
      </c>
      <c r="F15" s="36">
        <f>LevelizedAvoidedCost!B45</f>
        <v>0.93</v>
      </c>
      <c r="G15" s="36">
        <f>LevelizedAvoidedCost!C45</f>
        <v>6.9999999999999951E-2</v>
      </c>
      <c r="H15" s="30">
        <f t="shared" ca="1" si="0"/>
        <v>58.296868777374726</v>
      </c>
      <c r="I15" s="37">
        <f ca="1">H15*LevelizedAvoidedCost!$J$29</f>
        <v>4468571.5855233278</v>
      </c>
    </row>
    <row r="16" spans="3:9" ht="15" x14ac:dyDescent="0.25">
      <c r="C16">
        <v>2022</v>
      </c>
      <c r="D16" s="30">
        <f ca="1">IF('KeyInputs&amp;Result'!$P$2=2, LevelizedAvoidedCost!M46,LevelizedAvoidedCost!F46)</f>
        <v>65.663477016930173</v>
      </c>
      <c r="E16" s="30">
        <f ca="1">LevelizedAvoidedCost!I46</f>
        <v>34.606109978153242</v>
      </c>
      <c r="F16" s="36">
        <f>LevelizedAvoidedCost!B46</f>
        <v>0.97</v>
      </c>
      <c r="G16" s="36">
        <f>LevelizedAvoidedCost!C46</f>
        <v>3.0000000000000027E-2</v>
      </c>
      <c r="H16" s="30">
        <f t="shared" ca="1" si="0"/>
        <v>64.731756005766869</v>
      </c>
      <c r="I16" s="37">
        <f ca="1">H16*LevelizedAvoidedCost!$J$29</f>
        <v>4961818.561354042</v>
      </c>
    </row>
    <row r="17" spans="3:9" ht="15" x14ac:dyDescent="0.25">
      <c r="C17">
        <v>2023</v>
      </c>
      <c r="D17" s="30">
        <f ca="1">IF('KeyInputs&amp;Result'!$P$2=2, LevelizedAvoidedCost!M47,LevelizedAvoidedCost!F47)</f>
        <v>71.689988818394738</v>
      </c>
      <c r="E17" s="30">
        <f ca="1">LevelizedAvoidedCost!I47</f>
        <v>35.471262727607069</v>
      </c>
      <c r="F17" s="36">
        <f>LevelizedAvoidedCost!B47</f>
        <v>1</v>
      </c>
      <c r="G17" s="36">
        <f>LevelizedAvoidedCost!C47</f>
        <v>0</v>
      </c>
      <c r="H17" s="30">
        <f t="shared" ca="1" si="0"/>
        <v>71.689988818394738</v>
      </c>
      <c r="I17" s="37">
        <f ca="1">H17*LevelizedAvoidedCost!$J$29</f>
        <v>5495181.0229075933</v>
      </c>
    </row>
    <row r="18" spans="3:9" ht="15" x14ac:dyDescent="0.25">
      <c r="C18">
        <v>2024</v>
      </c>
      <c r="D18" s="30">
        <f ca="1">IF('KeyInputs&amp;Result'!$P$2=2, LevelizedAvoidedCost!M48,LevelizedAvoidedCost!F48)</f>
        <v>78.269606336204873</v>
      </c>
      <c r="E18" s="30">
        <f ca="1">LevelizedAvoidedCost!I48</f>
        <v>36.358044295797242</v>
      </c>
      <c r="F18" s="36">
        <f>LevelizedAvoidedCost!B48</f>
        <v>1</v>
      </c>
      <c r="G18" s="36">
        <f>LevelizedAvoidedCost!C48</f>
        <v>0</v>
      </c>
      <c r="H18" s="30">
        <f t="shared" ca="1" si="0"/>
        <v>78.269606336204873</v>
      </c>
      <c r="I18" s="37">
        <f ca="1">H18*LevelizedAvoidedCost!$J$29</f>
        <v>5999521.8648827756</v>
      </c>
    </row>
    <row r="19" spans="3:9" ht="15" x14ac:dyDescent="0.25">
      <c r="C19">
        <v>2025</v>
      </c>
      <c r="D19" s="30">
        <f ca="1">IF('KeyInputs&amp;Result'!$P$2=2, LevelizedAvoidedCost!M49,LevelizedAvoidedCost!F49)</f>
        <v>85.453092921289397</v>
      </c>
      <c r="E19" s="30">
        <f ca="1">LevelizedAvoidedCost!I49</f>
        <v>37.266995403192169</v>
      </c>
      <c r="F19" s="36">
        <f>LevelizedAvoidedCost!B49</f>
        <v>1</v>
      </c>
      <c r="G19" s="36">
        <f>LevelizedAvoidedCost!C49</f>
        <v>0</v>
      </c>
      <c r="H19" s="30">
        <f t="shared" ca="1" si="0"/>
        <v>85.453092921289397</v>
      </c>
      <c r="I19" s="37">
        <f ca="1">H19*LevelizedAvoidedCost!$J$29</f>
        <v>6550150.4786026748</v>
      </c>
    </row>
    <row r="20" spans="3:9" ht="15" x14ac:dyDescent="0.25">
      <c r="C20">
        <v>2026</v>
      </c>
      <c r="D20" s="30">
        <f ca="1">IF('KeyInputs&amp;Result'!$P$2=2, LevelizedAvoidedCost!M50,LevelizedAvoidedCost!F50)</f>
        <v>93.295870921440354</v>
      </c>
      <c r="E20" s="30">
        <f ca="1">LevelizedAvoidedCost!I50</f>
        <v>38.19867028827197</v>
      </c>
      <c r="F20" s="36">
        <f>LevelizedAvoidedCost!B50</f>
        <v>1</v>
      </c>
      <c r="G20" s="36">
        <f>LevelizedAvoidedCost!C50</f>
        <v>0</v>
      </c>
      <c r="H20" s="30">
        <f t="shared" ca="1" si="0"/>
        <v>93.295870921440354</v>
      </c>
      <c r="I20" s="37">
        <f ca="1">H20*LevelizedAvoidedCost!$J$29</f>
        <v>7151315.0978702456</v>
      </c>
    </row>
    <row r="21" spans="3:9" ht="15" x14ac:dyDescent="0.25">
      <c r="C21">
        <v>2027</v>
      </c>
      <c r="D21" s="30">
        <f ca="1">IF('KeyInputs&amp;Result'!$P$2=2, LevelizedAvoidedCost!M51,LevelizedAvoidedCost!F51)</f>
        <v>101.85844927821864</v>
      </c>
      <c r="E21" s="30">
        <f ca="1">LevelizedAvoidedCost!I51</f>
        <v>39.153637045478767</v>
      </c>
      <c r="F21" s="36">
        <f>LevelizedAvoidedCost!B51</f>
        <v>1</v>
      </c>
      <c r="G21" s="36">
        <f>LevelizedAvoidedCost!C51</f>
        <v>0</v>
      </c>
      <c r="H21" s="30">
        <f t="shared" ca="1" si="0"/>
        <v>101.85844927821864</v>
      </c>
      <c r="I21" s="37">
        <f ca="1">H21*LevelizedAvoidedCost!$J$29</f>
        <v>7807653.8540740153</v>
      </c>
    </row>
    <row r="22" spans="3:9" x14ac:dyDescent="0.3">
      <c r="C22">
        <v>2028</v>
      </c>
      <c r="D22" s="30">
        <f ca="1">IF('KeyInputs&amp;Result'!$P$2=2, LevelizedAvoidedCost!M52,LevelizedAvoidedCost!F52)</f>
        <v>111.2068903681687</v>
      </c>
      <c r="E22" s="30">
        <f ca="1">LevelizedAvoidedCost!I52</f>
        <v>40.132477971615735</v>
      </c>
      <c r="F22" s="36">
        <f>LevelizedAvoidedCost!B52</f>
        <v>1</v>
      </c>
      <c r="G22" s="36">
        <f>LevelizedAvoidedCost!C52</f>
        <v>0</v>
      </c>
      <c r="H22" s="30">
        <f t="shared" ca="1" si="0"/>
        <v>111.2068903681687</v>
      </c>
      <c r="I22" s="37">
        <f ca="1">H22*LevelizedAvoidedCost!$J$29</f>
        <v>8524230.5605008677</v>
      </c>
    </row>
    <row r="23" spans="3:9" x14ac:dyDescent="0.3">
      <c r="C23">
        <v>2029</v>
      </c>
      <c r="D23" s="30">
        <f ca="1">IF('KeyInputs&amp;Result'!$P$2=2, LevelizedAvoidedCost!M53,LevelizedAvoidedCost!F53)</f>
        <v>121.4133196901363</v>
      </c>
      <c r="E23" s="30">
        <f ca="1">LevelizedAvoidedCost!I53</f>
        <v>41.135789920906127</v>
      </c>
      <c r="F23" s="36">
        <f>LevelizedAvoidedCost!B53</f>
        <v>1</v>
      </c>
      <c r="G23" s="36">
        <f>LevelizedAvoidedCost!C53</f>
        <v>0</v>
      </c>
      <c r="H23" s="30">
        <f t="shared" ca="1" si="0"/>
        <v>121.4133196901363</v>
      </c>
      <c r="I23" s="37">
        <f ca="1">H23*LevelizedAvoidedCost!$J$29</f>
        <v>9306573.7808883283</v>
      </c>
    </row>
    <row r="24" spans="3:9" x14ac:dyDescent="0.3">
      <c r="C24">
        <v>2030</v>
      </c>
      <c r="D24" s="30">
        <f ca="1">IF('KeyInputs&amp;Result'!$P$2=2, LevelizedAvoidedCost!M54,LevelizedAvoidedCost!F54)</f>
        <v>132.55648233105069</v>
      </c>
      <c r="E24" s="30">
        <f ca="1">LevelizedAvoidedCost!I54</f>
        <v>42.164184668928776</v>
      </c>
      <c r="F24" s="36">
        <f>LevelizedAvoidedCost!B54</f>
        <v>1</v>
      </c>
      <c r="G24" s="36">
        <f>LevelizedAvoidedCost!C54</f>
        <v>0</v>
      </c>
      <c r="H24" s="30">
        <f t="shared" ca="1" si="0"/>
        <v>132.55648233105069</v>
      </c>
      <c r="I24" s="37">
        <f ca="1">H24*LevelizedAvoidedCost!$J$29</f>
        <v>10160719.483639697</v>
      </c>
    </row>
    <row r="25" spans="3:9" x14ac:dyDescent="0.3">
      <c r="C25">
        <v>2031</v>
      </c>
      <c r="D25" s="30">
        <f ca="1">IF('KeyInputs&amp;Result'!$P$2=2, LevelizedAvoidedCost!M55,LevelizedAvoidedCost!F55)</f>
        <v>144.72235050344025</v>
      </c>
      <c r="E25" s="30">
        <f ca="1">LevelizedAvoidedCost!I55</f>
        <v>43.218289285651991</v>
      </c>
      <c r="F25" s="36">
        <f>LevelizedAvoidedCost!B55</f>
        <v>1</v>
      </c>
      <c r="G25" s="36">
        <f>LevelizedAvoidedCost!C55</f>
        <v>0</v>
      </c>
      <c r="H25" s="30">
        <f t="shared" ca="1" si="0"/>
        <v>144.72235050344025</v>
      </c>
      <c r="I25" s="37">
        <f ca="1">H25*LevelizedAvoidedCost!$J$29</f>
        <v>11093257.610789703</v>
      </c>
    </row>
    <row r="26" spans="3:9" x14ac:dyDescent="0.3">
      <c r="C26">
        <v>2032</v>
      </c>
      <c r="D26" s="30">
        <f ca="1">IF('KeyInputs&amp;Result'!$P$2=2, LevelizedAvoidedCost!M56,LevelizedAvoidedCost!F56)</f>
        <v>158.004786841982</v>
      </c>
      <c r="E26" s="30">
        <f ca="1">LevelizedAvoidedCost!I56</f>
        <v>44.29874651779329</v>
      </c>
      <c r="F26" s="36">
        <f>LevelizedAvoidedCost!B56</f>
        <v>1</v>
      </c>
      <c r="G26" s="36">
        <f>LevelizedAvoidedCost!C56</f>
        <v>0</v>
      </c>
      <c r="H26" s="30">
        <f t="shared" ca="1" si="0"/>
        <v>158.004786841982</v>
      </c>
      <c r="I26" s="37">
        <f ca="1">H26*LevelizedAvoidedCost!$J$29</f>
        <v>12111382.921011604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opLeftCell="A26" workbookViewId="0">
      <selection activeCell="G41" sqref="G41"/>
    </sheetView>
  </sheetViews>
  <sheetFormatPr defaultRowHeight="14.4" x14ac:dyDescent="0.3"/>
  <cols>
    <col min="1" max="1" width="13.33203125" customWidth="1"/>
    <col min="2" max="2" width="16.6640625" bestFit="1" customWidth="1"/>
    <col min="3" max="3" width="11.6640625" bestFit="1" customWidth="1"/>
    <col min="4" max="4" width="12.109375" customWidth="1"/>
    <col min="5" max="5" width="12.6640625" customWidth="1"/>
    <col min="6" max="9" width="17.109375" customWidth="1"/>
    <col min="10" max="10" width="22.109375" style="2" customWidth="1"/>
    <col min="11" max="11" width="13.88671875" bestFit="1" customWidth="1"/>
    <col min="12" max="12" width="12.6640625" bestFit="1" customWidth="1"/>
    <col min="13" max="13" width="15.44140625" bestFit="1" customWidth="1"/>
    <col min="14" max="14" width="16.88671875" bestFit="1" customWidth="1"/>
    <col min="15" max="15" width="12.5546875" bestFit="1" customWidth="1"/>
    <col min="17" max="17" width="13.6640625" bestFit="1" customWidth="1"/>
    <col min="18" max="18" width="12.5546875" bestFit="1" customWidth="1"/>
  </cols>
  <sheetData>
    <row r="1" spans="1:14" ht="21" x14ac:dyDescent="0.35">
      <c r="A1" s="6" t="s">
        <v>4</v>
      </c>
      <c r="B1" s="6"/>
      <c r="C1" s="6"/>
      <c r="F1" s="2"/>
      <c r="G1" s="2"/>
      <c r="H1" s="2"/>
      <c r="I1" s="2"/>
    </row>
    <row r="2" spans="1:14" ht="15" x14ac:dyDescent="0.25">
      <c r="A2" s="3" t="s">
        <v>5</v>
      </c>
      <c r="B2" s="3"/>
      <c r="C2" s="3"/>
      <c r="F2" s="2"/>
      <c r="G2" s="2"/>
      <c r="H2" s="2"/>
      <c r="I2" s="2"/>
    </row>
    <row r="3" spans="1:14" ht="15" x14ac:dyDescent="0.25">
      <c r="A3" s="3"/>
      <c r="C3" s="3"/>
      <c r="F3" s="2"/>
      <c r="G3" s="2"/>
      <c r="H3" s="2"/>
      <c r="I3" s="2"/>
    </row>
    <row r="4" spans="1:14" ht="15" x14ac:dyDescent="0.25">
      <c r="A4" s="3"/>
      <c r="B4" t="s">
        <v>19</v>
      </c>
      <c r="J4"/>
    </row>
    <row r="5" spans="1:14" ht="15" x14ac:dyDescent="0.25">
      <c r="A5" t="s">
        <v>0</v>
      </c>
      <c r="B5" t="s">
        <v>2</v>
      </c>
      <c r="J5"/>
    </row>
    <row r="6" spans="1:14" ht="15" x14ac:dyDescent="0.25">
      <c r="A6">
        <v>2013</v>
      </c>
      <c r="B6" s="4">
        <f ca="1">'Weight_%Purch'!I7</f>
        <v>2238908.4452121542</v>
      </c>
      <c r="C6" s="4"/>
      <c r="D6" s="4"/>
      <c r="E6" s="4"/>
      <c r="F6" s="4"/>
      <c r="G6" s="2"/>
      <c r="H6" s="5"/>
      <c r="J6" s="1"/>
      <c r="M6" s="15"/>
      <c r="N6" s="5"/>
    </row>
    <row r="7" spans="1:14" ht="15" x14ac:dyDescent="0.25">
      <c r="A7">
        <v>2014</v>
      </c>
      <c r="B7" s="4">
        <f ca="1">'Weight_%Purch'!I8</f>
        <v>2307332.5965840095</v>
      </c>
      <c r="C7" s="4"/>
      <c r="D7" s="4"/>
      <c r="E7" s="4"/>
      <c r="F7" s="4"/>
      <c r="G7" s="2"/>
      <c r="H7" s="5"/>
      <c r="J7" s="1"/>
      <c r="M7" s="15"/>
      <c r="N7" s="5"/>
    </row>
    <row r="8" spans="1:14" ht="15" x14ac:dyDescent="0.25">
      <c r="A8">
        <v>2015</v>
      </c>
      <c r="B8" s="4">
        <f ca="1">'Weight_%Purch'!I9</f>
        <v>2485011.2683291915</v>
      </c>
      <c r="C8" s="4"/>
      <c r="D8" s="4"/>
      <c r="E8" s="4"/>
      <c r="F8" s="4"/>
      <c r="G8" s="2"/>
      <c r="H8" s="5"/>
      <c r="J8" s="1"/>
      <c r="M8" s="15"/>
      <c r="N8" s="5"/>
    </row>
    <row r="9" spans="1:14" ht="15" x14ac:dyDescent="0.25">
      <c r="A9">
        <v>2016</v>
      </c>
      <c r="B9" s="4">
        <f ca="1">'Weight_%Purch'!I10</f>
        <v>2658589.1151295286</v>
      </c>
      <c r="C9" s="4"/>
      <c r="D9" s="4"/>
      <c r="E9" s="4"/>
      <c r="F9" s="4"/>
      <c r="G9" s="2"/>
      <c r="H9" s="5"/>
      <c r="J9" s="1"/>
      <c r="K9" s="4"/>
      <c r="M9" s="15"/>
      <c r="N9" s="5"/>
    </row>
    <row r="10" spans="1:14" ht="15" x14ac:dyDescent="0.25">
      <c r="A10">
        <v>2017</v>
      </c>
      <c r="B10" s="4">
        <f ca="1">'Weight_%Purch'!I11</f>
        <v>3010655.3934831973</v>
      </c>
      <c r="C10" s="4"/>
      <c r="D10" s="4"/>
      <c r="E10" s="4"/>
      <c r="F10" s="4"/>
      <c r="G10" s="2"/>
      <c r="H10" s="5"/>
      <c r="J10" s="1"/>
      <c r="M10" s="15"/>
      <c r="N10" s="5"/>
    </row>
    <row r="11" spans="1:14" ht="15" x14ac:dyDescent="0.25">
      <c r="A11">
        <v>2018</v>
      </c>
      <c r="B11" s="4">
        <f ca="1">'Weight_%Purch'!I12</f>
        <v>3316790.7549530431</v>
      </c>
      <c r="C11" s="4"/>
      <c r="D11" s="4"/>
      <c r="E11" s="4"/>
      <c r="F11" s="4"/>
      <c r="G11" s="2"/>
      <c r="H11" s="5"/>
      <c r="J11" s="1"/>
      <c r="M11" s="15"/>
      <c r="N11" s="5"/>
    </row>
    <row r="12" spans="1:14" ht="15" x14ac:dyDescent="0.25">
      <c r="A12">
        <v>2019</v>
      </c>
      <c r="B12" s="4">
        <f ca="1">'Weight_%Purch'!I13</f>
        <v>3628870.9013358187</v>
      </c>
      <c r="C12" s="4"/>
      <c r="D12" s="4"/>
      <c r="E12" s="4"/>
      <c r="F12" s="4"/>
      <c r="G12" s="2"/>
      <c r="H12" s="5"/>
      <c r="J12" s="1"/>
      <c r="M12" s="15"/>
      <c r="N12" s="5"/>
    </row>
    <row r="13" spans="1:14" ht="15" x14ac:dyDescent="0.25">
      <c r="A13">
        <v>2020</v>
      </c>
      <c r="B13" s="4">
        <f ca="1">'Weight_%Purch'!I14</f>
        <v>4018849.2579835388</v>
      </c>
      <c r="C13" s="4"/>
      <c r="D13" s="4"/>
      <c r="E13" s="4"/>
      <c r="F13" s="4"/>
      <c r="G13" s="2"/>
      <c r="H13" s="5"/>
      <c r="J13" s="1"/>
      <c r="M13" s="15"/>
      <c r="N13" s="5"/>
    </row>
    <row r="14" spans="1:14" ht="15" x14ac:dyDescent="0.25">
      <c r="A14">
        <v>2021</v>
      </c>
      <c r="B14" s="4">
        <f ca="1">'Weight_%Purch'!I15</f>
        <v>4468571.5855233278</v>
      </c>
      <c r="C14" s="4"/>
      <c r="D14" s="4"/>
      <c r="E14" s="4"/>
      <c r="F14" s="4"/>
      <c r="G14" s="2"/>
      <c r="H14" s="5"/>
      <c r="J14" s="1"/>
      <c r="M14" s="15"/>
      <c r="N14" s="5"/>
    </row>
    <row r="15" spans="1:14" ht="15" x14ac:dyDescent="0.25">
      <c r="A15">
        <v>2022</v>
      </c>
      <c r="B15" s="4">
        <f ca="1">'Weight_%Purch'!I16</f>
        <v>4961818.561354042</v>
      </c>
      <c r="C15" s="4"/>
      <c r="D15" s="4"/>
      <c r="E15" s="4"/>
      <c r="F15" s="4"/>
      <c r="G15" s="2"/>
      <c r="H15" s="5"/>
      <c r="J15" s="1"/>
      <c r="K15" s="4"/>
      <c r="M15" s="15"/>
      <c r="N15" s="5"/>
    </row>
    <row r="16" spans="1:14" ht="15" x14ac:dyDescent="0.25">
      <c r="A16">
        <v>2023</v>
      </c>
      <c r="B16" s="4">
        <f ca="1">'Weight_%Purch'!I17</f>
        <v>5495181.0229075933</v>
      </c>
      <c r="C16" s="4"/>
      <c r="D16" s="4"/>
      <c r="E16" s="4"/>
      <c r="F16" s="4"/>
      <c r="G16" s="2"/>
      <c r="H16" s="5"/>
      <c r="J16" s="1"/>
      <c r="M16" s="15"/>
      <c r="N16" s="5"/>
    </row>
    <row r="17" spans="1:18" ht="15" x14ac:dyDescent="0.25">
      <c r="A17">
        <v>2024</v>
      </c>
      <c r="B17" s="4">
        <f ca="1">'Weight_%Purch'!I18</f>
        <v>5999521.8648827756</v>
      </c>
      <c r="C17" s="4"/>
      <c r="D17" s="4"/>
      <c r="E17" s="4"/>
      <c r="F17" s="4"/>
      <c r="G17" s="2"/>
      <c r="H17" s="5"/>
      <c r="J17" s="1"/>
      <c r="M17" s="15"/>
      <c r="N17" s="5"/>
    </row>
    <row r="18" spans="1:18" ht="15" x14ac:dyDescent="0.25">
      <c r="A18">
        <v>2025</v>
      </c>
      <c r="B18" s="4">
        <f ca="1">'Weight_%Purch'!I19</f>
        <v>6550150.4786026748</v>
      </c>
      <c r="C18" s="4"/>
      <c r="D18" s="4"/>
      <c r="E18" s="4"/>
      <c r="F18" s="4"/>
      <c r="G18" s="2"/>
      <c r="H18" s="5"/>
      <c r="J18" s="1"/>
      <c r="M18" s="15"/>
      <c r="N18" s="5"/>
    </row>
    <row r="19" spans="1:18" ht="15" x14ac:dyDescent="0.25">
      <c r="A19">
        <v>2026</v>
      </c>
      <c r="B19" s="4">
        <f ca="1">'Weight_%Purch'!I20</f>
        <v>7151315.0978702456</v>
      </c>
      <c r="C19" s="4"/>
      <c r="D19" s="4"/>
      <c r="E19" s="4"/>
      <c r="F19" s="4"/>
      <c r="G19" s="2"/>
      <c r="H19" s="5"/>
      <c r="J19" s="1"/>
      <c r="M19" s="15"/>
      <c r="N19" s="5"/>
    </row>
    <row r="20" spans="1:18" ht="15" x14ac:dyDescent="0.25">
      <c r="A20">
        <v>2027</v>
      </c>
      <c r="B20" s="4">
        <f ca="1">'Weight_%Purch'!I21</f>
        <v>7807653.8540740153</v>
      </c>
      <c r="C20" s="4"/>
      <c r="D20" s="4"/>
      <c r="E20" s="4"/>
      <c r="F20" s="4"/>
      <c r="G20" s="2"/>
      <c r="H20" s="5"/>
      <c r="J20" s="1"/>
      <c r="M20" s="15"/>
      <c r="N20" s="5"/>
    </row>
    <row r="21" spans="1:18" ht="15" x14ac:dyDescent="0.25">
      <c r="A21">
        <v>2028</v>
      </c>
      <c r="B21" s="4">
        <f ca="1">'Weight_%Purch'!I22</f>
        <v>8524230.5605008677</v>
      </c>
      <c r="C21" s="4"/>
      <c r="D21" s="4"/>
      <c r="E21" s="4"/>
      <c r="F21" s="4"/>
      <c r="G21" s="2"/>
      <c r="H21" s="5"/>
      <c r="J21" s="1"/>
      <c r="M21" s="15"/>
      <c r="N21" s="5"/>
    </row>
    <row r="22" spans="1:18" ht="15" x14ac:dyDescent="0.25">
      <c r="A22">
        <v>2029</v>
      </c>
      <c r="B22" s="4">
        <f ca="1">'Weight_%Purch'!I23</f>
        <v>9306573.7808883283</v>
      </c>
      <c r="C22" s="4"/>
      <c r="D22" s="4"/>
      <c r="E22" s="4"/>
      <c r="F22" s="4"/>
      <c r="G22" s="2"/>
      <c r="H22" s="5"/>
      <c r="J22" s="1"/>
      <c r="M22" s="15"/>
      <c r="N22" s="5"/>
    </row>
    <row r="23" spans="1:18" ht="15" x14ac:dyDescent="0.25">
      <c r="A23">
        <v>2030</v>
      </c>
      <c r="B23" s="4">
        <f ca="1">'Weight_%Purch'!I24</f>
        <v>10160719.483639697</v>
      </c>
      <c r="C23" s="4"/>
      <c r="D23" s="4"/>
      <c r="E23" s="4"/>
      <c r="F23" s="4"/>
      <c r="G23" s="2"/>
      <c r="H23" s="5"/>
      <c r="J23" s="1"/>
      <c r="M23" s="15"/>
      <c r="N23" s="5"/>
    </row>
    <row r="24" spans="1:18" ht="15.75" thickBot="1" x14ac:dyDescent="0.3">
      <c r="A24">
        <v>2031</v>
      </c>
      <c r="B24" s="4">
        <f ca="1">'Weight_%Purch'!I25</f>
        <v>11093257.610789703</v>
      </c>
      <c r="C24" s="4"/>
      <c r="D24" s="4"/>
      <c r="E24" s="4"/>
      <c r="F24" s="4"/>
      <c r="G24" s="2"/>
      <c r="H24" s="5"/>
      <c r="J24" s="1"/>
      <c r="M24" s="15"/>
      <c r="N24" s="5"/>
    </row>
    <row r="25" spans="1:18" ht="15.75" thickBot="1" x14ac:dyDescent="0.3">
      <c r="A25">
        <v>2032</v>
      </c>
      <c r="B25" s="4">
        <f ca="1">'Weight_%Purch'!I26</f>
        <v>12111382.921011604</v>
      </c>
      <c r="C25" s="4"/>
      <c r="D25" s="295">
        <v>20</v>
      </c>
      <c r="E25" s="296" t="s">
        <v>130</v>
      </c>
      <c r="F25" s="297"/>
      <c r="G25" s="2"/>
      <c r="H25" s="5"/>
      <c r="J25" s="1"/>
      <c r="K25" s="4"/>
      <c r="M25" s="15"/>
      <c r="N25" s="5"/>
    </row>
    <row r="26" spans="1:18" ht="15.75" thickBot="1" x14ac:dyDescent="0.3">
      <c r="B26" s="4">
        <f ca="1">SUM(B6:B25)</f>
        <v>117295384.55505538</v>
      </c>
      <c r="D26" s="298">
        <f ca="1">PMT(0.08,D25,-NPV(0.08,B6:B25)/$J$29)</f>
        <v>60.722256431387066</v>
      </c>
      <c r="E26" s="152"/>
      <c r="F26" s="152"/>
      <c r="G26" s="333"/>
      <c r="H26" s="296"/>
      <c r="I26" s="334" t="s">
        <v>162</v>
      </c>
      <c r="J26" s="297"/>
      <c r="N26" s="4"/>
      <c r="O26" s="4"/>
    </row>
    <row r="27" spans="1:18" ht="15.75" thickBot="1" x14ac:dyDescent="0.3">
      <c r="E27" s="4"/>
      <c r="G27" s="279" t="s">
        <v>160</v>
      </c>
      <c r="H27" s="152"/>
      <c r="I27" s="152">
        <f>3.5+0.65</f>
        <v>4.1500000000000004</v>
      </c>
      <c r="J27" s="335" t="s">
        <v>44</v>
      </c>
      <c r="Q27" s="4"/>
      <c r="R27" s="4"/>
    </row>
    <row r="28" spans="1:18" ht="15" x14ac:dyDescent="0.25">
      <c r="B28" t="s">
        <v>6</v>
      </c>
      <c r="C28" s="3">
        <f>16*6*52-(6*16)</f>
        <v>4896</v>
      </c>
      <c r="D28" s="7">
        <f>8760-C28</f>
        <v>3864</v>
      </c>
      <c r="G28" t="s">
        <v>161</v>
      </c>
      <c r="J28" t="s">
        <v>3</v>
      </c>
    </row>
    <row r="29" spans="1:18" ht="15" x14ac:dyDescent="0.25">
      <c r="B29" t="s">
        <v>27</v>
      </c>
      <c r="C29" s="8">
        <f>+C28/8760</f>
        <v>0.55890410958904113</v>
      </c>
      <c r="D29" s="8">
        <f>+D28/8760</f>
        <v>0.44109589041095892</v>
      </c>
      <c r="G29" t="s">
        <v>38</v>
      </c>
      <c r="H29" t="s">
        <v>42</v>
      </c>
      <c r="J29" s="3">
        <v>76652</v>
      </c>
      <c r="K29" t="s">
        <v>1</v>
      </c>
    </row>
    <row r="30" spans="1:18" ht="15.75" thickBot="1" x14ac:dyDescent="0.3">
      <c r="E30" s="8"/>
      <c r="F30" s="8"/>
      <c r="G30" s="34">
        <v>2.5000000000000001E-2</v>
      </c>
      <c r="H30" s="35">
        <f>'KeyInputs&amp;Result'!M5</f>
        <v>1</v>
      </c>
      <c r="I30" s="8"/>
      <c r="J30"/>
      <c r="K30" s="3"/>
    </row>
    <row r="31" spans="1:18" ht="15" x14ac:dyDescent="0.25">
      <c r="A31" s="12" t="s">
        <v>11</v>
      </c>
      <c r="C31" s="16" t="s">
        <v>18</v>
      </c>
      <c r="D31" t="s">
        <v>23</v>
      </c>
      <c r="E31" s="15"/>
      <c r="F31" s="26" t="s">
        <v>35</v>
      </c>
      <c r="G31" s="31" t="s">
        <v>36</v>
      </c>
      <c r="H31" s="31" t="s">
        <v>39</v>
      </c>
      <c r="I31" s="31" t="s">
        <v>43</v>
      </c>
      <c r="K31" s="315" t="s">
        <v>143</v>
      </c>
      <c r="L31" s="320" t="s">
        <v>144</v>
      </c>
      <c r="M31" s="320" t="s">
        <v>145</v>
      </c>
    </row>
    <row r="32" spans="1:18" ht="15" x14ac:dyDescent="0.25">
      <c r="B32" s="12" t="s">
        <v>10</v>
      </c>
      <c r="C32" s="17">
        <f>+(B39-B34)/5</f>
        <v>4.6000000000000006E-2</v>
      </c>
      <c r="D32" t="s">
        <v>22</v>
      </c>
      <c r="E32" s="12"/>
      <c r="F32" s="27" t="s">
        <v>10</v>
      </c>
      <c r="G32" s="33" t="s">
        <v>37</v>
      </c>
      <c r="H32" s="33" t="s">
        <v>40</v>
      </c>
      <c r="I32" s="33" t="s">
        <v>44</v>
      </c>
      <c r="J32"/>
      <c r="K32" s="316" t="s">
        <v>37</v>
      </c>
      <c r="L32" s="321" t="s">
        <v>40</v>
      </c>
      <c r="M32" s="321" t="s">
        <v>44</v>
      </c>
      <c r="N32" s="18"/>
    </row>
    <row r="33" spans="1:14" ht="15" x14ac:dyDescent="0.25">
      <c r="B33" s="12" t="s">
        <v>8</v>
      </c>
      <c r="C33" s="12" t="s">
        <v>9</v>
      </c>
      <c r="D33" t="s">
        <v>24</v>
      </c>
      <c r="E33" s="12" t="s">
        <v>25</v>
      </c>
      <c r="F33" s="27"/>
      <c r="G33" s="12"/>
      <c r="H33" s="12"/>
      <c r="I33" s="12"/>
      <c r="J33"/>
      <c r="K33" s="317">
        <v>10500</v>
      </c>
      <c r="L33" s="27"/>
      <c r="M33" s="27"/>
    </row>
    <row r="34" spans="1:14" ht="15" x14ac:dyDescent="0.25">
      <c r="A34" s="38">
        <v>2010</v>
      </c>
      <c r="B34" s="39">
        <v>0.42</v>
      </c>
      <c r="C34" s="39">
        <v>0.57999999999999996</v>
      </c>
      <c r="D34" s="40" t="e">
        <f>AVERAGE(#REF!)</f>
        <v>#REF!</v>
      </c>
      <c r="E34" s="13"/>
      <c r="F34" s="27"/>
      <c r="G34" s="12"/>
      <c r="H34" s="12"/>
      <c r="I34" s="12"/>
      <c r="J34"/>
      <c r="K34" s="317" t="s">
        <v>146</v>
      </c>
      <c r="L34" s="27"/>
      <c r="M34" s="322"/>
      <c r="N34" s="18"/>
    </row>
    <row r="35" spans="1:14" ht="15" x14ac:dyDescent="0.25">
      <c r="A35" s="38">
        <v>2011</v>
      </c>
      <c r="B35" s="41">
        <f>+$C$32+B34</f>
        <v>0.46599999999999997</v>
      </c>
      <c r="C35" s="41">
        <f>1-B35</f>
        <v>0.53400000000000003</v>
      </c>
      <c r="D35" s="40" t="e">
        <f>AVERAGE(#REF!)</f>
        <v>#REF!</v>
      </c>
      <c r="E35" s="14"/>
      <c r="F35" s="27"/>
      <c r="G35" s="12"/>
      <c r="H35" s="12"/>
      <c r="I35" s="12"/>
      <c r="J35"/>
      <c r="K35" s="318" t="s">
        <v>147</v>
      </c>
      <c r="L35" s="27"/>
      <c r="M35" s="27"/>
    </row>
    <row r="36" spans="1:14" ht="15.75" thickBot="1" x14ac:dyDescent="0.3">
      <c r="A36" s="38">
        <v>2012</v>
      </c>
      <c r="B36" s="41">
        <f>+$C$32+B35</f>
        <v>0.51200000000000001</v>
      </c>
      <c r="C36" s="41">
        <f t="shared" ref="C36:C56" si="0">1-B36</f>
        <v>0.48799999999999999</v>
      </c>
      <c r="D36" s="40" t="e">
        <f>AVERAGE(#REF!)</f>
        <v>#REF!</v>
      </c>
      <c r="E36" s="14"/>
      <c r="F36" s="27"/>
      <c r="G36" s="12"/>
      <c r="H36" s="12"/>
      <c r="I36" s="12"/>
      <c r="J36"/>
      <c r="K36" s="319">
        <v>4</v>
      </c>
      <c r="L36" s="29"/>
      <c r="M36" s="29"/>
    </row>
    <row r="37" spans="1:14" ht="15" x14ac:dyDescent="0.25">
      <c r="A37">
        <v>2013</v>
      </c>
      <c r="B37" s="14">
        <f>'KeyInputs&amp;Result'!E6</f>
        <v>0.56000000000000005</v>
      </c>
      <c r="C37" s="14">
        <f t="shared" si="0"/>
        <v>0.43999999999999995</v>
      </c>
      <c r="D37" s="2">
        <f ca="1">AVERAGE(LTForecast!G27:G38)</f>
        <v>40.618454780985978</v>
      </c>
      <c r="E37" s="2">
        <f ca="1">AVERAGE(LTForecast!H27:H38)</f>
        <v>25.187758807178948</v>
      </c>
      <c r="F37" s="28">
        <f ca="1">D37*$C$29+E37*$D$29</f>
        <v>33.812038200758771</v>
      </c>
      <c r="G37" s="32">
        <v>23.35</v>
      </c>
      <c r="H37" s="32">
        <f ca="1">B60*$H$30</f>
        <v>0</v>
      </c>
      <c r="I37" s="32">
        <f ca="1">G37+H37</f>
        <v>23.35</v>
      </c>
      <c r="J37"/>
      <c r="K37" s="30">
        <f>($K$33*C60+$K$36)/1000</f>
        <v>51.007477798105704</v>
      </c>
      <c r="L37" s="274">
        <f ca="1">'KeyInputs&amp;Result'!$M$4*LevelizedAvoidedCost!$K$33/1000/7*LevelizedAvoidedCost!B60</f>
        <v>0</v>
      </c>
      <c r="M37" s="274">
        <f ca="1">K37+L37</f>
        <v>51.007477798105704</v>
      </c>
    </row>
    <row r="38" spans="1:14" ht="15" x14ac:dyDescent="0.25">
      <c r="A38">
        <v>2014</v>
      </c>
      <c r="B38" s="14">
        <f>'KeyInputs&amp;Result'!E7</f>
        <v>0.6</v>
      </c>
      <c r="C38" s="14">
        <f t="shared" si="0"/>
        <v>0.4</v>
      </c>
      <c r="D38" s="2">
        <f ca="1">AVERAGE(LTForecast!G39:G50)</f>
        <v>41.100333227750106</v>
      </c>
      <c r="E38" s="2">
        <f ca="1">AVERAGE(LTForecast!H39:H50)</f>
        <v>25.486574657188939</v>
      </c>
      <c r="F38" s="28">
        <f t="shared" ref="F38:F56" ca="1" si="1">D38*$C$29+E38*$D$29</f>
        <v>34.213168488406687</v>
      </c>
      <c r="G38" s="32">
        <f>G37*(1+$G$30)</f>
        <v>23.93375</v>
      </c>
      <c r="H38" s="32">
        <f t="shared" ref="H38:H56" ca="1" si="2">B61*$H$30</f>
        <v>0</v>
      </c>
      <c r="I38" s="32">
        <f t="shared" ref="I38:I56" ca="1" si="3">G38+H38</f>
        <v>23.93375</v>
      </c>
      <c r="J38"/>
      <c r="K38" s="30">
        <f t="shared" ref="K38:K56" si="4">($K$33*C61+$K$36)/1000</f>
        <v>51.612559325540495</v>
      </c>
      <c r="L38" s="274">
        <f ca="1">'KeyInputs&amp;Result'!$M$4*LevelizedAvoidedCost!$K$33/1000/7*LevelizedAvoidedCost!B61</f>
        <v>0</v>
      </c>
      <c r="M38" s="274">
        <f t="shared" ref="M38:M56" ca="1" si="5">K38+L38</f>
        <v>51.612559325540495</v>
      </c>
    </row>
    <row r="39" spans="1:14" ht="15" x14ac:dyDescent="0.25">
      <c r="A39">
        <v>2015</v>
      </c>
      <c r="B39" s="14">
        <f>'KeyInputs&amp;Result'!E8</f>
        <v>0.65</v>
      </c>
      <c r="C39" s="14">
        <f t="shared" si="0"/>
        <v>0.35</v>
      </c>
      <c r="D39" s="2">
        <f ca="1">AVERAGE(LTForecast!G51:G62)</f>
        <v>44.047403397004018</v>
      </c>
      <c r="E39" s="2">
        <f ca="1">AVERAGE(LTForecast!H51:H62)</f>
        <v>27.314071370474736</v>
      </c>
      <c r="F39" s="28">
        <f t="shared" ca="1" si="1"/>
        <v>36.66639940721987</v>
      </c>
      <c r="G39" s="32">
        <f t="shared" ref="G39:G56" si="6">G38*(1+$G$30)</f>
        <v>24.532093749999998</v>
      </c>
      <c r="H39" s="32">
        <f t="shared" ca="1" si="2"/>
        <v>0</v>
      </c>
      <c r="I39" s="32">
        <f t="shared" ca="1" si="3"/>
        <v>24.532093749999998</v>
      </c>
      <c r="J39"/>
      <c r="K39" s="30">
        <f t="shared" si="4"/>
        <v>55.313114375147265</v>
      </c>
      <c r="L39" s="274">
        <f ca="1">'KeyInputs&amp;Result'!$M$4*LevelizedAvoidedCost!$K$33/1000/7*LevelizedAvoidedCost!B62</f>
        <v>0</v>
      </c>
      <c r="M39" s="274">
        <f t="shared" ca="1" si="5"/>
        <v>55.313114375147265</v>
      </c>
    </row>
    <row r="40" spans="1:14" ht="15" x14ac:dyDescent="0.25">
      <c r="A40">
        <v>2016</v>
      </c>
      <c r="B40" s="14">
        <f>'KeyInputs&amp;Result'!E9</f>
        <v>0.7</v>
      </c>
      <c r="C40" s="14">
        <f t="shared" si="0"/>
        <v>0.30000000000000004</v>
      </c>
      <c r="D40" s="2">
        <f ca="1">AVERAGE(LTForecast!G63:G74)</f>
        <v>46.576634190898147</v>
      </c>
      <c r="E40" s="2">
        <f ca="1">AVERAGE(LTForecast!H63:H74)</f>
        <v>28.882463263957515</v>
      </c>
      <c r="F40" s="28">
        <f t="shared" ca="1" si="1"/>
        <v>38.771808110795568</v>
      </c>
      <c r="G40" s="32">
        <f t="shared" si="6"/>
        <v>25.145396093749994</v>
      </c>
      <c r="H40" s="32">
        <f t="shared" ca="1" si="2"/>
        <v>0</v>
      </c>
      <c r="I40" s="32">
        <f t="shared" ca="1" si="3"/>
        <v>25.145396093749994</v>
      </c>
      <c r="J40"/>
      <c r="K40" s="30">
        <f t="shared" si="4"/>
        <v>58.488999999999997</v>
      </c>
      <c r="L40" s="274">
        <f ca="1">'KeyInputs&amp;Result'!$M$4*LevelizedAvoidedCost!$K$33/1000/7*LevelizedAvoidedCost!B63</f>
        <v>0</v>
      </c>
      <c r="M40" s="274">
        <f t="shared" ca="1" si="5"/>
        <v>58.488999999999997</v>
      </c>
    </row>
    <row r="41" spans="1:14" ht="15" x14ac:dyDescent="0.25">
      <c r="A41">
        <v>2017</v>
      </c>
      <c r="B41" s="14">
        <f>'KeyInputs&amp;Result'!E10</f>
        <v>0.74</v>
      </c>
      <c r="C41" s="14">
        <f t="shared" si="0"/>
        <v>0.26</v>
      </c>
      <c r="D41" s="2">
        <f ca="1">AVERAGE(LTForecast!G75:G86)</f>
        <v>50.851379427912832</v>
      </c>
      <c r="E41" s="2">
        <f ca="1">AVERAGE(LTForecast!H75:H86)</f>
        <v>31.533259621736857</v>
      </c>
      <c r="F41" s="28">
        <f t="shared" ca="1" si="1"/>
        <v>42.330236170942058</v>
      </c>
      <c r="G41" s="32">
        <f>G40*(1+$G$30)+I27*(1+G30)^(2016-2010)</f>
        <v>30.586758681677239</v>
      </c>
      <c r="H41" s="32">
        <f t="shared" ca="1" si="2"/>
        <v>0</v>
      </c>
      <c r="I41" s="32">
        <f t="shared" ca="1" si="3"/>
        <v>30.586758681677239</v>
      </c>
      <c r="J41"/>
      <c r="K41" s="30">
        <f t="shared" si="4"/>
        <v>63.856680158298332</v>
      </c>
      <c r="L41" s="274">
        <f ca="1">'KeyInputs&amp;Result'!$M$4*LevelizedAvoidedCost!$K$33/1000/7*LevelizedAvoidedCost!B64</f>
        <v>0</v>
      </c>
      <c r="M41" s="274">
        <f t="shared" ca="1" si="5"/>
        <v>63.856680158298332</v>
      </c>
    </row>
    <row r="42" spans="1:14" ht="15" x14ac:dyDescent="0.25">
      <c r="A42">
        <v>2018</v>
      </c>
      <c r="B42" s="14">
        <f>'KeyInputs&amp;Result'!E11</f>
        <v>0.79</v>
      </c>
      <c r="C42" s="14">
        <f t="shared" si="0"/>
        <v>0.20999999999999996</v>
      </c>
      <c r="D42" s="2">
        <f ca="1">AVERAGE(LTForecast!G87:G97)</f>
        <v>56.088801508826485</v>
      </c>
      <c r="E42" s="2">
        <f ca="1">AVERAGE(LTForecast!H87:H97)</f>
        <v>34.212370526633457</v>
      </c>
      <c r="F42" s="28">
        <f t="shared" ca="1" si="1"/>
        <v>46.439197705722165</v>
      </c>
      <c r="G42" s="32">
        <f t="shared" si="6"/>
        <v>31.351427648719167</v>
      </c>
      <c r="H42" s="32">
        <f t="shared" ca="1" si="2"/>
        <v>0</v>
      </c>
      <c r="I42" s="32">
        <f t="shared" ca="1" si="3"/>
        <v>31.351427648719167</v>
      </c>
      <c r="J42"/>
      <c r="K42" s="30">
        <f t="shared" si="4"/>
        <v>69.716999288671374</v>
      </c>
      <c r="L42" s="274">
        <f ca="1">'KeyInputs&amp;Result'!$M$4*LevelizedAvoidedCost!$K$33/1000/7*LevelizedAvoidedCost!B65</f>
        <v>0</v>
      </c>
      <c r="M42" s="274">
        <f t="shared" ca="1" si="5"/>
        <v>69.716999288671374</v>
      </c>
    </row>
    <row r="43" spans="1:14" ht="15" x14ac:dyDescent="0.25">
      <c r="A43">
        <v>2019</v>
      </c>
      <c r="B43" s="14">
        <f>'KeyInputs&amp;Result'!E12</f>
        <v>0.83</v>
      </c>
      <c r="C43" s="14">
        <f t="shared" si="0"/>
        <v>0.17000000000000004</v>
      </c>
      <c r="D43" s="2">
        <f ca="1">AVERAGE(LTForecast!G99:G110)</f>
        <v>60.613869845020879</v>
      </c>
      <c r="E43" s="2">
        <f ca="1">AVERAGE(LTForecast!H99:H110)</f>
        <v>37.587041217057909</v>
      </c>
      <c r="F43" s="28">
        <f t="shared" ca="1" si="1"/>
        <v>50.456830368028996</v>
      </c>
      <c r="G43" s="32">
        <f t="shared" si="6"/>
        <v>32.135213339937145</v>
      </c>
      <c r="H43" s="32">
        <f t="shared" ca="1" si="2"/>
        <v>0</v>
      </c>
      <c r="I43" s="32">
        <f t="shared" ca="1" si="3"/>
        <v>32.135213339937145</v>
      </c>
      <c r="J43"/>
      <c r="K43" s="30">
        <f t="shared" si="4"/>
        <v>76.115171179878828</v>
      </c>
      <c r="L43" s="274">
        <f ca="1">'KeyInputs&amp;Result'!$M$4*LevelizedAvoidedCost!$K$33/1000/7*LevelizedAvoidedCost!B66</f>
        <v>0</v>
      </c>
      <c r="M43" s="274">
        <f t="shared" ca="1" si="5"/>
        <v>76.115171179878828</v>
      </c>
    </row>
    <row r="44" spans="1:14" ht="15" x14ac:dyDescent="0.25">
      <c r="A44">
        <v>2020</v>
      </c>
      <c r="B44" s="14">
        <f>'KeyInputs&amp;Result'!E13</f>
        <v>0.88</v>
      </c>
      <c r="C44" s="14">
        <f t="shared" si="0"/>
        <v>0.12</v>
      </c>
      <c r="D44" s="2">
        <f ca="1">AVERAGE(LTForecast!G111:G122)</f>
        <v>66.176935015317454</v>
      </c>
      <c r="E44" s="2">
        <f ca="1">AVERAGE(LTForecast!H111:H122)</f>
        <v>41.036732853373927</v>
      </c>
      <c r="F44" s="28">
        <f t="shared" ca="1" si="1"/>
        <v>55.087695157583461</v>
      </c>
      <c r="G44" s="32">
        <f t="shared" si="6"/>
        <v>32.93859367343557</v>
      </c>
      <c r="H44" s="32">
        <f t="shared" ca="1" si="2"/>
        <v>0</v>
      </c>
      <c r="I44" s="32">
        <f t="shared" ca="1" si="3"/>
        <v>32.93859367343557</v>
      </c>
      <c r="J44"/>
      <c r="K44" s="30">
        <f t="shared" si="4"/>
        <v>83.100559285668041</v>
      </c>
      <c r="L44" s="274">
        <f ca="1">'KeyInputs&amp;Result'!$M$4*LevelizedAvoidedCost!$K$33/1000/7*LevelizedAvoidedCost!B67</f>
        <v>0</v>
      </c>
      <c r="M44" s="274">
        <f t="shared" ca="1" si="5"/>
        <v>83.100559285668041</v>
      </c>
    </row>
    <row r="45" spans="1:14" ht="15" x14ac:dyDescent="0.25">
      <c r="A45">
        <v>2021</v>
      </c>
      <c r="B45" s="14">
        <f>'KeyInputs&amp;Result'!E14</f>
        <v>0.93</v>
      </c>
      <c r="C45" s="14">
        <f t="shared" si="0"/>
        <v>6.9999999999999951E-2</v>
      </c>
      <c r="D45" s="2">
        <f ca="1">AVERAGE(LTForecast!G123:G134)</f>
        <v>72.250571349740255</v>
      </c>
      <c r="E45" s="2">
        <f ca="1">AVERAGE(LTForecast!H123:H134)</f>
        <v>44.803032873865419</v>
      </c>
      <c r="F45" s="28">
        <f t="shared" ca="1" si="1"/>
        <v>60.143574926135187</v>
      </c>
      <c r="G45" s="32">
        <f t="shared" si="6"/>
        <v>33.762058515271455</v>
      </c>
      <c r="H45" s="32">
        <f t="shared" ca="1" si="2"/>
        <v>0</v>
      </c>
      <c r="I45" s="32">
        <f t="shared" ca="1" si="3"/>
        <v>33.762058515271455</v>
      </c>
      <c r="J45"/>
      <c r="K45" s="30">
        <f t="shared" si="4"/>
        <v>90.727057575837165</v>
      </c>
      <c r="L45" s="274">
        <f ca="1">'KeyInputs&amp;Result'!$M$4*LevelizedAvoidedCost!$K$33/1000/7*LevelizedAvoidedCost!B68</f>
        <v>0</v>
      </c>
      <c r="M45" s="274">
        <f t="shared" ca="1" si="5"/>
        <v>90.727057575837165</v>
      </c>
    </row>
    <row r="46" spans="1:14" x14ac:dyDescent="0.3">
      <c r="A46">
        <v>2022</v>
      </c>
      <c r="B46" s="14">
        <f>'KeyInputs&amp;Result'!E15</f>
        <v>0.97</v>
      </c>
      <c r="C46" s="14">
        <f t="shared" si="0"/>
        <v>3.0000000000000027E-2</v>
      </c>
      <c r="D46" s="2">
        <f ca="1">AVERAGE(LTForecast!G135:G146)</f>
        <v>78.881638431209311</v>
      </c>
      <c r="E46" s="2">
        <f ca="1">AVERAGE(LTForecast!H135:H146)</f>
        <v>48.914999200079585</v>
      </c>
      <c r="F46" s="28">
        <f t="shared" ca="1" si="1"/>
        <v>65.663477016930173</v>
      </c>
      <c r="G46" s="32">
        <f t="shared" si="6"/>
        <v>34.606109978153242</v>
      </c>
      <c r="H46" s="32">
        <f t="shared" ca="1" si="2"/>
        <v>0</v>
      </c>
      <c r="I46" s="32">
        <f t="shared" ca="1" si="3"/>
        <v>34.606109978153242</v>
      </c>
      <c r="J46"/>
      <c r="K46" s="30">
        <f t="shared" si="4"/>
        <v>99.053506341332223</v>
      </c>
      <c r="L46" s="274">
        <f ca="1">'KeyInputs&amp;Result'!$M$4*LevelizedAvoidedCost!$K$33/1000/7*LevelizedAvoidedCost!B69</f>
        <v>0</v>
      </c>
      <c r="M46" s="274">
        <f t="shared" ca="1" si="5"/>
        <v>99.053506341332223</v>
      </c>
    </row>
    <row r="47" spans="1:14" x14ac:dyDescent="0.3">
      <c r="A47">
        <v>2023</v>
      </c>
      <c r="B47" s="14">
        <f>'KeyInputs&amp;Result'!E16</f>
        <v>1</v>
      </c>
      <c r="C47" s="14">
        <f t="shared" si="0"/>
        <v>0</v>
      </c>
      <c r="D47" s="2">
        <f ca="1">AVERAGE(LTForecast!G147:G158)</f>
        <v>86.121296556562257</v>
      </c>
      <c r="E47" s="2">
        <f ca="1">AVERAGE(LTForecast!H147:H158)</f>
        <v>53.404356653263228</v>
      </c>
      <c r="F47" s="28">
        <f t="shared" ca="1" si="1"/>
        <v>71.689988818394738</v>
      </c>
      <c r="G47" s="32">
        <f t="shared" si="6"/>
        <v>35.471262727607069</v>
      </c>
      <c r="H47" s="32">
        <f t="shared" ca="1" si="2"/>
        <v>0</v>
      </c>
      <c r="I47" s="32">
        <f t="shared" ca="1" si="3"/>
        <v>35.471262727607069</v>
      </c>
      <c r="J47"/>
      <c r="K47" s="30">
        <f t="shared" si="4"/>
        <v>108.14414616141624</v>
      </c>
      <c r="L47" s="274">
        <f ca="1">'KeyInputs&amp;Result'!$M$4*LevelizedAvoidedCost!$K$33/1000/7*LevelizedAvoidedCost!B70</f>
        <v>0</v>
      </c>
      <c r="M47" s="274">
        <f t="shared" ca="1" si="5"/>
        <v>108.14414616141624</v>
      </c>
    </row>
    <row r="48" spans="1:14" x14ac:dyDescent="0.3">
      <c r="A48">
        <v>2024</v>
      </c>
      <c r="B48" s="14">
        <f>'KeyInputs&amp;Result'!E17</f>
        <v>1</v>
      </c>
      <c r="C48" s="14">
        <f t="shared" si="0"/>
        <v>0</v>
      </c>
      <c r="D48" s="2">
        <f ca="1">AVERAGE(LTForecast!G159:G170)</f>
        <v>94.025401450698936</v>
      </c>
      <c r="E48" s="2">
        <f ca="1">AVERAGE(LTForecast!H159:H170)</f>
        <v>58.305741719081965</v>
      </c>
      <c r="F48" s="28">
        <f t="shared" ca="1" si="1"/>
        <v>78.269606336204873</v>
      </c>
      <c r="G48" s="32">
        <f t="shared" si="6"/>
        <v>36.358044295797242</v>
      </c>
      <c r="H48" s="32">
        <f t="shared" ca="1" si="2"/>
        <v>0</v>
      </c>
      <c r="I48" s="32">
        <f t="shared" ca="1" si="3"/>
        <v>36.358044295797242</v>
      </c>
      <c r="J48"/>
      <c r="K48" s="30">
        <f t="shared" si="4"/>
        <v>118.06911353537733</v>
      </c>
      <c r="L48" s="274">
        <f ca="1">'KeyInputs&amp;Result'!$M$4*LevelizedAvoidedCost!$K$33/1000/7*LevelizedAvoidedCost!B71</f>
        <v>0</v>
      </c>
      <c r="M48" s="274">
        <f t="shared" ca="1" si="5"/>
        <v>118.06911353537733</v>
      </c>
    </row>
    <row r="49" spans="1:13" x14ac:dyDescent="0.3">
      <c r="A49">
        <v>2025</v>
      </c>
      <c r="B49" s="14">
        <f>'KeyInputs&amp;Result'!E18</f>
        <v>1</v>
      </c>
      <c r="C49" s="14">
        <f t="shared" si="0"/>
        <v>0</v>
      </c>
      <c r="D49" s="2">
        <f ca="1">AVERAGE(LTForecast!G171:G182)</f>
        <v>102.65493520709718</v>
      </c>
      <c r="E49" s="2">
        <f ca="1">AVERAGE(LTForecast!H171:H182)</f>
        <v>63.656969776539135</v>
      </c>
      <c r="F49" s="28">
        <f t="shared" ca="1" si="1"/>
        <v>85.453092921289397</v>
      </c>
      <c r="G49" s="32">
        <f t="shared" si="6"/>
        <v>37.266995403192169</v>
      </c>
      <c r="H49" s="32">
        <f t="shared" ca="1" si="2"/>
        <v>0</v>
      </c>
      <c r="I49" s="32">
        <f t="shared" ca="1" si="3"/>
        <v>37.266995403192169</v>
      </c>
      <c r="J49"/>
      <c r="K49" s="30">
        <f t="shared" si="4"/>
        <v>128.90498200269516</v>
      </c>
      <c r="L49" s="274">
        <f ca="1">'KeyInputs&amp;Result'!$M$4*LevelizedAvoidedCost!$K$33/1000/7*LevelizedAvoidedCost!B72</f>
        <v>0</v>
      </c>
      <c r="M49" s="274">
        <f t="shared" ca="1" si="5"/>
        <v>128.90498200269516</v>
      </c>
    </row>
    <row r="50" spans="1:13" x14ac:dyDescent="0.3">
      <c r="A50">
        <v>2026</v>
      </c>
      <c r="B50" s="14">
        <f>'KeyInputs&amp;Result'!E19</f>
        <v>1</v>
      </c>
      <c r="C50" s="14">
        <f t="shared" si="0"/>
        <v>0</v>
      </c>
      <c r="D50" s="2">
        <f ca="1">AVERAGE(LTForecast!G183:G194)</f>
        <v>112.07647677950955</v>
      </c>
      <c r="E50" s="2">
        <f ca="1">AVERAGE(LTForecast!H183:H194)</f>
        <v>69.499326852830919</v>
      </c>
      <c r="F50" s="28">
        <f t="shared" ca="1" si="1"/>
        <v>93.295870921440354</v>
      </c>
      <c r="G50" s="32">
        <f t="shared" si="6"/>
        <v>38.19867028827197</v>
      </c>
      <c r="H50" s="32">
        <f t="shared" ca="1" si="2"/>
        <v>0</v>
      </c>
      <c r="I50" s="32">
        <f t="shared" ca="1" si="3"/>
        <v>38.19867028827197</v>
      </c>
      <c r="J50"/>
      <c r="K50" s="30">
        <f t="shared" si="4"/>
        <v>140.73535292653952</v>
      </c>
      <c r="L50" s="274">
        <f ca="1">'KeyInputs&amp;Result'!$M$4*LevelizedAvoidedCost!$K$33/1000/7*LevelizedAvoidedCost!B73</f>
        <v>0</v>
      </c>
      <c r="M50" s="274">
        <f t="shared" ca="1" si="5"/>
        <v>140.73535292653952</v>
      </c>
    </row>
    <row r="51" spans="1:13" x14ac:dyDescent="0.3">
      <c r="A51">
        <v>2027</v>
      </c>
      <c r="B51" s="14">
        <f>'KeyInputs&amp;Result'!E20</f>
        <v>1</v>
      </c>
      <c r="C51" s="14">
        <f t="shared" si="0"/>
        <v>0</v>
      </c>
      <c r="D51" s="2">
        <f ca="1">AVERAGE(LTForecast!G195:G206)</f>
        <v>122.36271565479991</v>
      </c>
      <c r="E51" s="2">
        <f ca="1">AVERAGE(LTForecast!H195:H206)</f>
        <v>75.877888155096997</v>
      </c>
      <c r="F51" s="28">
        <f t="shared" ca="1" si="1"/>
        <v>101.85844927821864</v>
      </c>
      <c r="G51" s="32">
        <f t="shared" si="6"/>
        <v>39.153637045478767</v>
      </c>
      <c r="H51" s="32">
        <f t="shared" ca="1" si="2"/>
        <v>0</v>
      </c>
      <c r="I51" s="32">
        <f t="shared" ca="1" si="3"/>
        <v>39.153637045478767</v>
      </c>
      <c r="J51"/>
      <c r="K51" s="30">
        <f t="shared" si="4"/>
        <v>153.65150049863951</v>
      </c>
      <c r="L51" s="274">
        <f ca="1">'KeyInputs&amp;Result'!$M$4*LevelizedAvoidedCost!$K$33/1000/7*LevelizedAvoidedCost!B74</f>
        <v>0</v>
      </c>
      <c r="M51" s="274">
        <f t="shared" ca="1" si="5"/>
        <v>153.65150049863951</v>
      </c>
    </row>
    <row r="52" spans="1:13" x14ac:dyDescent="0.3">
      <c r="A52">
        <v>2028</v>
      </c>
      <c r="B52" s="14">
        <f>'KeyInputs&amp;Result'!E21</f>
        <v>1</v>
      </c>
      <c r="C52" s="14">
        <f t="shared" si="0"/>
        <v>0</v>
      </c>
      <c r="D52" s="2">
        <f ca="1">AVERAGE(LTForecast!G207:G218)</f>
        <v>133.59301267003062</v>
      </c>
      <c r="E52" s="2">
        <f ca="1">AVERAGE(LTForecast!H207:H218)</f>
        <v>82.841865836616932</v>
      </c>
      <c r="F52" s="28">
        <f t="shared" ca="1" si="1"/>
        <v>111.2068903681687</v>
      </c>
      <c r="G52" s="32">
        <f t="shared" si="6"/>
        <v>40.132477971615735</v>
      </c>
      <c r="H52" s="32">
        <f t="shared" ca="1" si="2"/>
        <v>0</v>
      </c>
      <c r="I52" s="32">
        <f t="shared" ca="1" si="3"/>
        <v>40.132477971615735</v>
      </c>
      <c r="J52"/>
      <c r="K52" s="30">
        <f t="shared" si="4"/>
        <v>167.75307594189294</v>
      </c>
      <c r="L52" s="274">
        <f ca="1">'KeyInputs&amp;Result'!$M$4*LevelizedAvoidedCost!$K$33/1000/7*LevelizedAvoidedCost!B75</f>
        <v>0</v>
      </c>
      <c r="M52" s="274">
        <f t="shared" ca="1" si="5"/>
        <v>167.75307594189294</v>
      </c>
    </row>
    <row r="53" spans="1:13" x14ac:dyDescent="0.3">
      <c r="A53">
        <v>2029</v>
      </c>
      <c r="B53" s="14">
        <f>'KeyInputs&amp;Result'!E22</f>
        <v>1</v>
      </c>
      <c r="C53" s="14">
        <f t="shared" si="0"/>
        <v>0</v>
      </c>
      <c r="D53" s="2">
        <f ca="1">AVERAGE(LTForecast!G219:G230)</f>
        <v>145.85401230064051</v>
      </c>
      <c r="E53" s="2">
        <f ca="1">AVERAGE(LTForecast!H219:H230)</f>
        <v>90.444988680553323</v>
      </c>
      <c r="F53" s="28">
        <f t="shared" ca="1" si="1"/>
        <v>121.4133196901363</v>
      </c>
      <c r="G53" s="32">
        <f t="shared" si="6"/>
        <v>41.135789920906127</v>
      </c>
      <c r="H53" s="32">
        <f t="shared" ca="1" si="2"/>
        <v>0</v>
      </c>
      <c r="I53" s="32">
        <f t="shared" ca="1" si="3"/>
        <v>41.135789920906127</v>
      </c>
      <c r="J53"/>
      <c r="K53" s="30">
        <f t="shared" si="4"/>
        <v>183.148876343811</v>
      </c>
      <c r="L53" s="274">
        <f ca="1">'KeyInputs&amp;Result'!$M$4*LevelizedAvoidedCost!$K$33/1000/7*LevelizedAvoidedCost!B76</f>
        <v>0</v>
      </c>
      <c r="M53" s="274">
        <f t="shared" ca="1" si="5"/>
        <v>183.148876343811</v>
      </c>
    </row>
    <row r="54" spans="1:13" x14ac:dyDescent="0.3">
      <c r="A54">
        <v>2030</v>
      </c>
      <c r="B54" s="14">
        <f>'KeyInputs&amp;Result'!E23</f>
        <v>1</v>
      </c>
      <c r="C54" s="14">
        <f t="shared" si="0"/>
        <v>0</v>
      </c>
      <c r="D54" s="2">
        <f ca="1">AVERAGE(LTForecast!G231:G242)</f>
        <v>159.24031114366608</v>
      </c>
      <c r="E54" s="2">
        <f ca="1">AVERAGE(LTForecast!H231:H242)</f>
        <v>98.745916630593925</v>
      </c>
      <c r="F54" s="28">
        <f t="shared" ca="1" si="1"/>
        <v>132.55648233105069</v>
      </c>
      <c r="G54" s="32">
        <f t="shared" si="6"/>
        <v>42.164184668928776</v>
      </c>
      <c r="H54" s="32">
        <f t="shared" ca="1" si="2"/>
        <v>0</v>
      </c>
      <c r="I54" s="32">
        <f t="shared" ca="1" si="3"/>
        <v>42.164184668928776</v>
      </c>
      <c r="J54"/>
      <c r="K54" s="30">
        <f t="shared" si="4"/>
        <v>199.9576840525342</v>
      </c>
      <c r="L54" s="274">
        <f ca="1">'KeyInputs&amp;Result'!$M$4*LevelizedAvoidedCost!$K$33/1000/7*LevelizedAvoidedCost!B77</f>
        <v>0</v>
      </c>
      <c r="M54" s="274">
        <f t="shared" ca="1" si="5"/>
        <v>199.9576840525342</v>
      </c>
    </row>
    <row r="55" spans="1:13" x14ac:dyDescent="0.3">
      <c r="A55">
        <v>2031</v>
      </c>
      <c r="B55" s="14">
        <f>'KeyInputs&amp;Result'!E24</f>
        <v>1</v>
      </c>
      <c r="C55" s="14">
        <f t="shared" si="0"/>
        <v>0</v>
      </c>
      <c r="D55" s="2">
        <f ca="1">AVERAGE(LTForecast!G243:G254)</f>
        <v>173.85518775351659</v>
      </c>
      <c r="E55" s="2">
        <f ca="1">AVERAGE(LTForecast!H243:H254)</f>
        <v>107.80869336669753</v>
      </c>
      <c r="F55" s="28">
        <f t="shared" ca="1" si="1"/>
        <v>144.72235050344025</v>
      </c>
      <c r="G55" s="32">
        <f t="shared" si="6"/>
        <v>43.218289285651991</v>
      </c>
      <c r="H55" s="32">
        <f t="shared" ca="1" si="2"/>
        <v>0</v>
      </c>
      <c r="I55" s="32">
        <f t="shared" ca="1" si="3"/>
        <v>43.218289285651991</v>
      </c>
      <c r="J55"/>
      <c r="K55" s="30">
        <f t="shared" si="4"/>
        <v>218.30918311156543</v>
      </c>
      <c r="L55" s="274">
        <f ca="1">'KeyInputs&amp;Result'!$M$4*LevelizedAvoidedCost!$K$33/1000/7*LevelizedAvoidedCost!B78</f>
        <v>0</v>
      </c>
      <c r="M55" s="274">
        <f t="shared" ca="1" si="5"/>
        <v>218.30918311156543</v>
      </c>
    </row>
    <row r="56" spans="1:13" x14ac:dyDescent="0.3">
      <c r="A56">
        <v>2032</v>
      </c>
      <c r="B56" s="14">
        <f>'KeyInputs&amp;Result'!E25</f>
        <v>1</v>
      </c>
      <c r="C56" s="14">
        <f t="shared" si="0"/>
        <v>0</v>
      </c>
      <c r="D56" s="2">
        <f ca="1">AVERAGE(LTForecast!G255:G266)</f>
        <v>189.81139946116446</v>
      </c>
      <c r="E56" s="2">
        <f ca="1">AVERAGE(LTForecast!H255:H266)</f>
        <v>117.70324041767627</v>
      </c>
      <c r="F56" s="28">
        <f t="shared" ca="1" si="1"/>
        <v>158.004786841982</v>
      </c>
      <c r="G56" s="32">
        <f t="shared" si="6"/>
        <v>44.29874651779329</v>
      </c>
      <c r="H56" s="32">
        <f t="shared" ca="1" si="2"/>
        <v>0</v>
      </c>
      <c r="I56" s="32">
        <f t="shared" ca="1" si="3"/>
        <v>44.29874651779329</v>
      </c>
      <c r="J56"/>
      <c r="K56" s="30">
        <f t="shared" si="4"/>
        <v>238.34495980373669</v>
      </c>
      <c r="L56" s="274">
        <f ca="1">'KeyInputs&amp;Result'!$M$4*LevelizedAvoidedCost!$K$33/1000/7*LevelizedAvoidedCost!B79</f>
        <v>0</v>
      </c>
      <c r="M56" s="274">
        <f t="shared" ca="1" si="5"/>
        <v>238.34495980373669</v>
      </c>
    </row>
    <row r="57" spans="1:13" ht="15" thickBot="1" x14ac:dyDescent="0.35">
      <c r="E57" s="12"/>
      <c r="F57" s="29"/>
      <c r="G57" s="12"/>
      <c r="H57" s="12"/>
      <c r="I57" s="12"/>
      <c r="J57" s="15"/>
    </row>
    <row r="59" spans="1:13" x14ac:dyDescent="0.3">
      <c r="B59" t="s">
        <v>41</v>
      </c>
      <c r="C59" t="s">
        <v>141</v>
      </c>
    </row>
    <row r="60" spans="1:13" x14ac:dyDescent="0.3">
      <c r="A60">
        <v>2013</v>
      </c>
      <c r="B60" s="274">
        <f ca="1">'Carbon Price'!D16</f>
        <v>0</v>
      </c>
      <c r="C60" s="30">
        <f>GasPrice!B4</f>
        <v>4.8574740760100674</v>
      </c>
    </row>
    <row r="61" spans="1:13" x14ac:dyDescent="0.3">
      <c r="A61">
        <v>2014</v>
      </c>
      <c r="B61" s="274">
        <f ca="1">'Carbon Price'!D17</f>
        <v>0</v>
      </c>
      <c r="C61" s="30">
        <f>GasPrice!B5</f>
        <v>4.9151008881467142</v>
      </c>
    </row>
    <row r="62" spans="1:13" x14ac:dyDescent="0.3">
      <c r="A62">
        <v>2015</v>
      </c>
      <c r="B62" s="274">
        <f ca="1">'Carbon Price'!D18</f>
        <v>0</v>
      </c>
      <c r="C62" s="30">
        <f>GasPrice!B6</f>
        <v>5.2675347023949772</v>
      </c>
    </row>
    <row r="63" spans="1:13" x14ac:dyDescent="0.3">
      <c r="A63">
        <v>2016</v>
      </c>
      <c r="B63" s="274">
        <f ca="1">'Carbon Price'!D19</f>
        <v>0</v>
      </c>
      <c r="C63" s="30">
        <f>GasPrice!B7</f>
        <v>5.57</v>
      </c>
    </row>
    <row r="64" spans="1:13" x14ac:dyDescent="0.3">
      <c r="A64">
        <v>2017</v>
      </c>
      <c r="B64" s="274">
        <f ca="1">'Carbon Price'!D20</f>
        <v>0</v>
      </c>
      <c r="C64" s="30">
        <f>GasPrice!B8</f>
        <v>6.0812076341236505</v>
      </c>
    </row>
    <row r="65" spans="1:3" x14ac:dyDescent="0.3">
      <c r="A65">
        <v>2018</v>
      </c>
      <c r="B65" s="274">
        <f ca="1">'Carbon Price'!D21</f>
        <v>0</v>
      </c>
      <c r="C65" s="30">
        <f>GasPrice!B9</f>
        <v>6.6393332655877497</v>
      </c>
    </row>
    <row r="66" spans="1:3" x14ac:dyDescent="0.3">
      <c r="A66">
        <v>2019</v>
      </c>
      <c r="B66" s="274">
        <f ca="1">'Carbon Price'!D22</f>
        <v>0</v>
      </c>
      <c r="C66" s="30">
        <f>GasPrice!B10</f>
        <v>7.2486829695122692</v>
      </c>
    </row>
    <row r="67" spans="1:3" x14ac:dyDescent="0.3">
      <c r="A67">
        <v>2020</v>
      </c>
      <c r="B67" s="274">
        <f ca="1">'Carbon Price'!D23</f>
        <v>0</v>
      </c>
      <c r="C67" s="30">
        <f>GasPrice!B11</f>
        <v>7.9139580272064807</v>
      </c>
    </row>
    <row r="68" spans="1:3" x14ac:dyDescent="0.3">
      <c r="A68">
        <v>2021</v>
      </c>
      <c r="B68" s="274">
        <f ca="1">'Carbon Price'!D24</f>
        <v>0</v>
      </c>
      <c r="C68" s="30">
        <f>GasPrice!B12</f>
        <v>8.6402911976987777</v>
      </c>
    </row>
    <row r="69" spans="1:3" x14ac:dyDescent="0.3">
      <c r="A69">
        <v>2022</v>
      </c>
      <c r="B69" s="274">
        <f ca="1">'Carbon Price'!D25</f>
        <v>0</v>
      </c>
      <c r="C69" s="30">
        <f>GasPrice!B13</f>
        <v>9.4332863182221161</v>
      </c>
    </row>
    <row r="70" spans="1:3" x14ac:dyDescent="0.3">
      <c r="A70">
        <v>2023</v>
      </c>
      <c r="B70" s="274">
        <f ca="1">'Carbon Price'!D26</f>
        <v>0</v>
      </c>
      <c r="C70" s="30">
        <f>GasPrice!B14</f>
        <v>10.2990615391825</v>
      </c>
    </row>
    <row r="71" spans="1:3" x14ac:dyDescent="0.3">
      <c r="A71">
        <v>2024</v>
      </c>
      <c r="B71" s="274">
        <f ca="1">'Carbon Price'!D27</f>
        <v>0</v>
      </c>
      <c r="C71" s="30">
        <f>GasPrice!B15</f>
        <v>11.244296527178793</v>
      </c>
    </row>
    <row r="72" spans="1:3" x14ac:dyDescent="0.3">
      <c r="A72">
        <v>2025</v>
      </c>
      <c r="B72" s="274">
        <f ca="1">'Carbon Price'!D28</f>
        <v>0</v>
      </c>
      <c r="C72" s="30">
        <f>GasPrice!B16</f>
        <v>12.276284000256682</v>
      </c>
    </row>
    <row r="73" spans="1:3" x14ac:dyDescent="0.3">
      <c r="A73">
        <v>2026</v>
      </c>
      <c r="B73" s="274">
        <f ca="1">'Carbon Price'!D29</f>
        <v>0</v>
      </c>
      <c r="C73" s="30">
        <f>GasPrice!B17</f>
        <v>13.402985993003764</v>
      </c>
    </row>
    <row r="74" spans="1:3" x14ac:dyDescent="0.3">
      <c r="A74">
        <v>2027</v>
      </c>
      <c r="B74" s="274">
        <f ca="1">'Carbon Price'!D30</f>
        <v>0</v>
      </c>
      <c r="C74" s="30">
        <f>GasPrice!B18</f>
        <v>14.633095285584714</v>
      </c>
    </row>
    <row r="75" spans="1:3" x14ac:dyDescent="0.3">
      <c r="A75">
        <v>2028</v>
      </c>
      <c r="B75" s="274">
        <f ca="1">'Carbon Price'!D31</f>
        <v>0</v>
      </c>
      <c r="C75" s="30">
        <f>GasPrice!B19</f>
        <v>15.976102470656471</v>
      </c>
    </row>
    <row r="76" spans="1:3" x14ac:dyDescent="0.3">
      <c r="A76">
        <v>2029</v>
      </c>
      <c r="B76" s="274">
        <f ca="1">'Carbon Price'!D32</f>
        <v>0</v>
      </c>
      <c r="C76" s="30">
        <f>GasPrice!B20</f>
        <v>17.442369175601048</v>
      </c>
    </row>
    <row r="77" spans="1:3" x14ac:dyDescent="0.3">
      <c r="A77">
        <v>2030</v>
      </c>
      <c r="B77" s="274">
        <f ca="1">'Carbon Price'!D33</f>
        <v>0</v>
      </c>
      <c r="C77" s="30">
        <f>GasPrice!B21</f>
        <v>19.043208005003258</v>
      </c>
    </row>
    <row r="78" spans="1:3" x14ac:dyDescent="0.3">
      <c r="A78">
        <v>2031</v>
      </c>
      <c r="B78" s="274">
        <f ca="1">'Carbon Price'!D34</f>
        <v>0</v>
      </c>
      <c r="C78" s="30">
        <f>GasPrice!B22</f>
        <v>20.790969820149087</v>
      </c>
    </row>
    <row r="79" spans="1:3" x14ac:dyDescent="0.3">
      <c r="A79">
        <v>2032</v>
      </c>
      <c r="B79" s="274">
        <f ca="1">'Carbon Price'!D35</f>
        <v>0</v>
      </c>
      <c r="C79" s="30">
        <f>GasPrice!B23</f>
        <v>22.699139028927302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0"/>
  <sheetViews>
    <sheetView workbookViewId="0">
      <selection activeCell="H27" sqref="H27"/>
    </sheetView>
  </sheetViews>
  <sheetFormatPr defaultColWidth="8.88671875" defaultRowHeight="14.4" x14ac:dyDescent="0.3"/>
  <cols>
    <col min="1" max="3" width="11.44140625" customWidth="1"/>
    <col min="4" max="4" width="10.44140625" customWidth="1"/>
    <col min="5" max="5" width="11.33203125" customWidth="1"/>
    <col min="6" max="8" width="13.33203125" customWidth="1"/>
    <col min="9" max="21" width="11.44140625" customWidth="1"/>
    <col min="22" max="22" width="10.6640625" customWidth="1"/>
    <col min="23" max="23" width="3" customWidth="1"/>
    <col min="24" max="24" width="10.109375" customWidth="1"/>
    <col min="25" max="25" width="10.33203125" customWidth="1"/>
    <col min="26" max="26" width="3" customWidth="1"/>
    <col min="27" max="28" width="10.33203125" customWidth="1"/>
    <col min="29" max="29" width="2.33203125" customWidth="1"/>
    <col min="30" max="31" width="9.88671875" customWidth="1"/>
    <col min="32" max="32" width="2.33203125" customWidth="1"/>
    <col min="33" max="33" width="10" customWidth="1"/>
    <col min="34" max="34" width="10.109375" customWidth="1"/>
    <col min="35" max="35" width="2.44140625" customWidth="1"/>
    <col min="36" max="38" width="11.44140625" customWidth="1"/>
    <col min="39" max="39" width="2.44140625" customWidth="1"/>
    <col min="40" max="40" width="11" customWidth="1"/>
    <col min="41" max="41" width="14.109375" customWidth="1"/>
    <col min="43" max="43" width="13.33203125" bestFit="1" customWidth="1"/>
    <col min="44" max="44" width="13.33203125" customWidth="1"/>
  </cols>
  <sheetData>
    <row r="1" spans="1:44" ht="18" x14ac:dyDescent="0.25">
      <c r="A1" s="141" t="s">
        <v>63</v>
      </c>
      <c r="B1" s="141"/>
    </row>
    <row r="2" spans="1:44" ht="18" x14ac:dyDescent="0.25">
      <c r="A2" s="141" t="s">
        <v>13</v>
      </c>
      <c r="B2" s="141"/>
    </row>
    <row r="3" spans="1:44" ht="15" x14ac:dyDescent="0.25">
      <c r="A3" s="147"/>
      <c r="B3" s="147"/>
      <c r="F3" t="s">
        <v>104</v>
      </c>
      <c r="I3">
        <f>'KeyInputs&amp;Result'!$M$4</f>
        <v>0.42899999999999999</v>
      </c>
      <c r="J3" t="s">
        <v>106</v>
      </c>
    </row>
    <row r="4" spans="1:44" ht="15" x14ac:dyDescent="0.25">
      <c r="A4" s="250"/>
      <c r="B4" s="250"/>
      <c r="C4" s="250"/>
      <c r="D4" s="156"/>
      <c r="E4" s="156"/>
      <c r="F4" t="s">
        <v>105</v>
      </c>
      <c r="I4" s="275">
        <f>'KeyInputs&amp;Result'!M5</f>
        <v>1</v>
      </c>
      <c r="J4" t="s">
        <v>106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</row>
    <row r="5" spans="1:44" ht="15" x14ac:dyDescent="0.25">
      <c r="A5" s="9"/>
      <c r="B5" s="9"/>
      <c r="C5" s="9"/>
      <c r="D5" s="156"/>
      <c r="E5" s="156"/>
      <c r="F5" s="251"/>
      <c r="G5" s="251"/>
      <c r="H5" s="251"/>
      <c r="J5" s="274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</row>
    <row r="6" spans="1:44" ht="15.75" thickBot="1" x14ac:dyDescent="0.3">
      <c r="A6" s="252"/>
      <c r="B6" s="252"/>
      <c r="C6" s="156"/>
      <c r="D6" s="156"/>
      <c r="E6" s="156"/>
      <c r="J6" s="274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</row>
    <row r="7" spans="1:44" ht="15.75" thickBot="1" x14ac:dyDescent="0.3">
      <c r="A7" s="156"/>
      <c r="B7" s="156"/>
      <c r="C7" s="156"/>
      <c r="D7" s="156"/>
      <c r="E7" s="156"/>
      <c r="G7" s="353"/>
      <c r="H7" s="354"/>
      <c r="S7" s="156"/>
      <c r="T7" s="156"/>
      <c r="U7" s="156"/>
      <c r="V7" s="156"/>
      <c r="W7" s="156"/>
      <c r="X7" s="156"/>
      <c r="Y7" s="156"/>
      <c r="Z7" s="156"/>
      <c r="AA7" s="355"/>
      <c r="AB7" s="355"/>
      <c r="AC7" s="156"/>
    </row>
    <row r="8" spans="1:44" ht="15.75" thickBot="1" x14ac:dyDescent="0.3">
      <c r="A8" s="168"/>
      <c r="B8" s="168"/>
      <c r="C8" s="168"/>
      <c r="D8" s="156"/>
      <c r="E8" s="353" t="s">
        <v>100</v>
      </c>
      <c r="F8" s="354"/>
      <c r="G8" s="356" t="s">
        <v>101</v>
      </c>
      <c r="H8" s="357"/>
      <c r="S8" s="168"/>
      <c r="T8" s="168"/>
      <c r="U8" s="168"/>
      <c r="V8" s="169"/>
      <c r="W8" s="169"/>
      <c r="X8" s="355"/>
      <c r="Y8" s="355"/>
      <c r="Z8" s="166"/>
      <c r="AA8" s="355"/>
      <c r="AB8" s="355"/>
      <c r="AC8" s="156"/>
    </row>
    <row r="9" spans="1:44" ht="15" x14ac:dyDescent="0.25">
      <c r="A9" s="253"/>
      <c r="B9" s="254" t="s">
        <v>102</v>
      </c>
      <c r="C9" s="254" t="s">
        <v>102</v>
      </c>
      <c r="D9" s="25" t="str">
        <f>'[1]Monthly Worksheet'!G8</f>
        <v>ESTIMATE</v>
      </c>
      <c r="E9" s="19">
        <f>'[1]Monthly Worksheet'!X8</f>
        <v>0</v>
      </c>
      <c r="F9" s="20">
        <f>'[1]Monthly Worksheet'!Y8</f>
        <v>0</v>
      </c>
      <c r="G9" s="21">
        <f>'[1]Monthly Worksheet'!AA8</f>
        <v>0</v>
      </c>
      <c r="H9" s="22">
        <f>'[1]Monthly Worksheet'!AB8</f>
        <v>0</v>
      </c>
      <c r="S9" s="294"/>
      <c r="T9" s="294"/>
      <c r="U9" s="83"/>
      <c r="V9" s="83"/>
      <c r="W9" s="83"/>
      <c r="X9" s="83"/>
      <c r="Y9" s="83"/>
      <c r="Z9" s="83"/>
      <c r="AA9" s="83"/>
      <c r="AB9" s="83"/>
      <c r="AC9" s="156"/>
      <c r="AD9" s="169"/>
      <c r="AE9" s="169"/>
      <c r="AG9" s="170"/>
      <c r="AH9" s="170"/>
      <c r="AJ9" s="179"/>
      <c r="AK9" s="179"/>
      <c r="AL9" s="179"/>
      <c r="AM9" s="155"/>
      <c r="AN9" s="179"/>
      <c r="AO9" s="179"/>
    </row>
    <row r="10" spans="1:44" ht="15.75" thickBot="1" x14ac:dyDescent="0.3">
      <c r="A10" s="253"/>
      <c r="B10" s="254" t="s">
        <v>103</v>
      </c>
      <c r="C10" s="254" t="s">
        <v>103</v>
      </c>
      <c r="D10" s="255" t="s">
        <v>14</v>
      </c>
      <c r="E10" s="21">
        <f>'[1]Monthly Worksheet'!X9</f>
        <v>0</v>
      </c>
      <c r="F10" s="22">
        <f>'[1]Monthly Worksheet'!Y9</f>
        <v>0</v>
      </c>
      <c r="G10" s="21">
        <f>'[1]Monthly Worksheet'!AA9</f>
        <v>0</v>
      </c>
      <c r="H10" s="22">
        <f>'[1]Monthly Worksheet'!AB9</f>
        <v>0</v>
      </c>
      <c r="S10" s="294"/>
      <c r="T10" s="294"/>
      <c r="U10" s="83"/>
      <c r="V10" s="83"/>
      <c r="W10" s="83"/>
      <c r="X10" s="83"/>
      <c r="Y10" s="83"/>
      <c r="Z10" s="83"/>
      <c r="AA10" s="83"/>
      <c r="AB10" s="83"/>
      <c r="AC10" s="156"/>
      <c r="AD10" s="169"/>
      <c r="AE10" s="169"/>
      <c r="AG10" s="170"/>
      <c r="AH10" s="170"/>
      <c r="AJ10" s="155"/>
      <c r="AK10" s="155"/>
      <c r="AL10" s="155"/>
      <c r="AM10" s="155"/>
      <c r="AN10" s="179"/>
      <c r="AO10" s="179"/>
    </row>
    <row r="11" spans="1:44" ht="15.75" thickBot="1" x14ac:dyDescent="0.3">
      <c r="A11" s="19" t="str">
        <f>'[1]Monthly Worksheet'!A10</f>
        <v>Mth-Year</v>
      </c>
      <c r="B11" s="254" t="s">
        <v>135</v>
      </c>
      <c r="C11" s="254" t="s">
        <v>136</v>
      </c>
      <c r="D11" s="256" t="s">
        <v>15</v>
      </c>
      <c r="E11" s="23" t="s">
        <v>16</v>
      </c>
      <c r="F11" s="24" t="s">
        <v>17</v>
      </c>
      <c r="G11" s="23" t="s">
        <v>16</v>
      </c>
      <c r="H11" s="24" t="s">
        <v>17</v>
      </c>
      <c r="S11" s="83"/>
      <c r="T11" s="83"/>
      <c r="U11" s="83"/>
      <c r="V11" s="83"/>
      <c r="W11" s="294"/>
      <c r="X11" s="83"/>
      <c r="Y11" s="83"/>
      <c r="Z11" s="83"/>
      <c r="AA11" s="83"/>
      <c r="AB11" s="83"/>
      <c r="AC11" s="156"/>
      <c r="AD11" s="158"/>
      <c r="AE11" s="158"/>
      <c r="AG11" s="159"/>
      <c r="AH11" s="159"/>
      <c r="AJ11" s="155"/>
      <c r="AK11" s="155"/>
      <c r="AL11" s="155"/>
      <c r="AM11" s="155"/>
      <c r="AN11" s="179"/>
      <c r="AO11" s="179"/>
    </row>
    <row r="12" spans="1:44" ht="15.75" hidden="1" thickBot="1" x14ac:dyDescent="0.3">
      <c r="A12" s="58">
        <v>40817</v>
      </c>
      <c r="B12" s="192"/>
      <c r="C12" s="192"/>
      <c r="D12" s="257"/>
      <c r="E12" s="258"/>
      <c r="F12" s="258"/>
      <c r="G12" s="258"/>
      <c r="H12" s="259"/>
      <c r="S12" s="167"/>
      <c r="T12" s="167"/>
      <c r="U12" s="167"/>
      <c r="V12" s="97"/>
      <c r="W12" s="156"/>
      <c r="X12" s="97"/>
      <c r="Y12" s="97"/>
      <c r="Z12" s="97"/>
      <c r="AA12" s="97"/>
      <c r="AB12" s="97"/>
      <c r="AC12" s="156"/>
      <c r="AD12" s="156"/>
      <c r="AE12" s="156"/>
      <c r="AG12" s="30"/>
      <c r="AH12" s="30"/>
      <c r="AP12" s="12"/>
      <c r="AQ12" s="12"/>
      <c r="AR12" s="12"/>
    </row>
    <row r="13" spans="1:44" ht="15.75" hidden="1" thickBot="1" x14ac:dyDescent="0.3">
      <c r="A13" s="59">
        <v>40848</v>
      </c>
      <c r="B13" s="192"/>
      <c r="C13" s="192"/>
      <c r="D13" s="260">
        <f>'[1]Monthly Worksheet'!G12</f>
        <v>0</v>
      </c>
      <c r="E13" s="261">
        <f>'[1]Monthly Worksheet'!X12</f>
        <v>0</v>
      </c>
      <c r="F13" s="261">
        <f>'[1]Monthly Worksheet'!Y12</f>
        <v>0</v>
      </c>
      <c r="G13" s="261">
        <f>'[1]Monthly Worksheet'!AA12</f>
        <v>0</v>
      </c>
      <c r="H13" s="262">
        <f>'[1]Monthly Worksheet'!AB12</f>
        <v>0</v>
      </c>
      <c r="S13" s="167"/>
      <c r="T13" s="97"/>
      <c r="U13" s="97"/>
      <c r="V13" s="97"/>
      <c r="W13" s="156"/>
      <c r="X13" s="97"/>
      <c r="Y13" s="97"/>
      <c r="Z13" s="97"/>
      <c r="AA13" s="97"/>
      <c r="AB13" s="97"/>
      <c r="AC13" s="156"/>
      <c r="AE13" s="10"/>
      <c r="AG13" s="30"/>
      <c r="AH13" s="30"/>
      <c r="AJ13" s="263"/>
      <c r="AK13" s="263"/>
      <c r="AL13" s="263"/>
      <c r="AN13" s="30"/>
      <c r="AO13" s="30"/>
      <c r="AP13" s="12"/>
      <c r="AQ13" s="11"/>
      <c r="AR13" s="11"/>
    </row>
    <row r="14" spans="1:44" ht="15.75" hidden="1" thickBot="1" x14ac:dyDescent="0.3">
      <c r="A14" s="59">
        <v>40878</v>
      </c>
      <c r="B14" s="192"/>
      <c r="C14" s="192"/>
      <c r="D14" s="260">
        <f>'[1]Monthly Worksheet'!G13</f>
        <v>0</v>
      </c>
      <c r="E14" s="261">
        <f>'[1]Monthly Worksheet'!X13</f>
        <v>0</v>
      </c>
      <c r="F14" s="261">
        <f>'[1]Monthly Worksheet'!Y13</f>
        <v>0</v>
      </c>
      <c r="G14" s="261">
        <f>'[1]Monthly Worksheet'!AA13</f>
        <v>0</v>
      </c>
      <c r="H14" s="262">
        <f>'[1]Monthly Worksheet'!AB13</f>
        <v>0</v>
      </c>
      <c r="S14" s="167"/>
      <c r="T14" s="97"/>
      <c r="U14" s="97"/>
      <c r="V14" s="97"/>
      <c r="W14" s="156"/>
      <c r="X14" s="97"/>
      <c r="Y14" s="97"/>
      <c r="Z14" s="97"/>
      <c r="AA14" s="97"/>
      <c r="AB14" s="97"/>
      <c r="AC14" s="156"/>
      <c r="AE14" s="10"/>
      <c r="AG14" s="30"/>
      <c r="AH14" s="30"/>
      <c r="AJ14" s="263"/>
      <c r="AK14" s="263"/>
      <c r="AL14" s="263"/>
      <c r="AN14" s="30"/>
      <c r="AO14" s="30"/>
      <c r="AP14" s="12"/>
      <c r="AQ14" s="11"/>
      <c r="AR14" s="11"/>
    </row>
    <row r="15" spans="1:44" ht="15.75" hidden="1" thickBot="1" x14ac:dyDescent="0.3">
      <c r="A15" s="59">
        <v>40909</v>
      </c>
      <c r="B15" s="192"/>
      <c r="C15" s="192"/>
      <c r="D15" s="260">
        <f>'[1]Monthly Worksheet'!G14</f>
        <v>3.7395899999999997</v>
      </c>
      <c r="E15" s="261">
        <f>'[1]Monthly Worksheet'!X14</f>
        <v>0</v>
      </c>
      <c r="F15" s="261">
        <f>'[1]Monthly Worksheet'!Y14</f>
        <v>0</v>
      </c>
      <c r="G15" s="261">
        <f>'[1]Monthly Worksheet'!AA14</f>
        <v>0</v>
      </c>
      <c r="H15" s="262">
        <f>'[1]Monthly Worksheet'!AB14</f>
        <v>0</v>
      </c>
      <c r="S15" s="167"/>
      <c r="T15" s="97"/>
      <c r="U15" s="97"/>
      <c r="V15" s="97"/>
      <c r="W15" s="156"/>
      <c r="X15" s="97"/>
      <c r="Y15" s="97"/>
      <c r="Z15" s="97"/>
      <c r="AA15" s="97"/>
      <c r="AB15" s="97"/>
      <c r="AC15" s="156"/>
      <c r="AE15" s="10"/>
      <c r="AG15" s="30"/>
      <c r="AH15" s="30"/>
      <c r="AJ15" s="263"/>
      <c r="AK15" s="263"/>
      <c r="AL15" s="263"/>
      <c r="AN15" s="30"/>
      <c r="AO15" s="30"/>
      <c r="AP15" s="12"/>
      <c r="AQ15" s="11"/>
      <c r="AR15" s="11"/>
    </row>
    <row r="16" spans="1:44" ht="15.75" hidden="1" thickBot="1" x14ac:dyDescent="0.3">
      <c r="A16" s="59">
        <v>40940</v>
      </c>
      <c r="B16" s="192"/>
      <c r="C16" s="192"/>
      <c r="D16" s="260">
        <f>'[1]Monthly Worksheet'!G15</f>
        <v>3.8445899999999997</v>
      </c>
      <c r="E16" s="261">
        <f>'[1]Monthly Worksheet'!X15</f>
        <v>0</v>
      </c>
      <c r="F16" s="261">
        <f>'[1]Monthly Worksheet'!Y15</f>
        <v>0</v>
      </c>
      <c r="G16" s="261">
        <f>'[1]Monthly Worksheet'!AA15</f>
        <v>0</v>
      </c>
      <c r="H16" s="262">
        <f>'[1]Monthly Worksheet'!AB15</f>
        <v>0</v>
      </c>
      <c r="S16" s="167"/>
      <c r="T16" s="97"/>
      <c r="U16" s="97"/>
      <c r="V16" s="97"/>
      <c r="W16" s="156"/>
      <c r="X16" s="97"/>
      <c r="Y16" s="97"/>
      <c r="Z16" s="97"/>
      <c r="AA16" s="97"/>
      <c r="AB16" s="97"/>
      <c r="AC16" s="156"/>
      <c r="AE16" s="10"/>
      <c r="AG16" s="30"/>
      <c r="AH16" s="30"/>
      <c r="AJ16" s="263"/>
      <c r="AK16" s="263"/>
      <c r="AL16" s="263"/>
      <c r="AN16" s="30"/>
      <c r="AO16" s="30"/>
      <c r="AP16" s="12"/>
      <c r="AQ16" s="11"/>
      <c r="AR16" s="11"/>
    </row>
    <row r="17" spans="1:44" ht="15.75" hidden="1" thickBot="1" x14ac:dyDescent="0.3">
      <c r="A17" s="59">
        <v>40969</v>
      </c>
      <c r="B17" s="192"/>
      <c r="C17" s="192"/>
      <c r="D17" s="260">
        <f>'[1]Monthly Worksheet'!G16</f>
        <v>3.81209</v>
      </c>
      <c r="E17" s="261">
        <f>'[1]Monthly Worksheet'!X16</f>
        <v>0</v>
      </c>
      <c r="F17" s="261">
        <f>'[1]Monthly Worksheet'!Y16</f>
        <v>0</v>
      </c>
      <c r="G17" s="261">
        <f>'[1]Monthly Worksheet'!AA16</f>
        <v>0</v>
      </c>
      <c r="H17" s="262">
        <f>'[1]Monthly Worksheet'!AB16</f>
        <v>0</v>
      </c>
      <c r="S17" s="167"/>
      <c r="T17" s="97"/>
      <c r="U17" s="97"/>
      <c r="V17" s="97"/>
      <c r="W17" s="156"/>
      <c r="X17" s="97"/>
      <c r="Y17" s="97"/>
      <c r="Z17" s="97"/>
      <c r="AA17" s="97"/>
      <c r="AB17" s="97"/>
      <c r="AC17" s="156"/>
      <c r="AE17" s="10"/>
      <c r="AG17" s="30"/>
      <c r="AH17" s="30"/>
      <c r="AJ17" s="263"/>
      <c r="AK17" s="263"/>
      <c r="AL17" s="263"/>
      <c r="AN17" s="30"/>
      <c r="AO17" s="30"/>
      <c r="AP17" s="12"/>
      <c r="AQ17" s="11"/>
      <c r="AR17" s="11"/>
    </row>
    <row r="18" spans="1:44" ht="15.75" hidden="1" thickBot="1" x14ac:dyDescent="0.3">
      <c r="A18" s="59">
        <v>41000</v>
      </c>
      <c r="B18" s="192"/>
      <c r="C18" s="192"/>
      <c r="D18" s="260">
        <f>'[1]Monthly Worksheet'!G17</f>
        <v>3.7645899999999997</v>
      </c>
      <c r="E18" s="261">
        <f>'[1]Monthly Worksheet'!X17</f>
        <v>0</v>
      </c>
      <c r="F18" s="261">
        <f>'[1]Monthly Worksheet'!Y17</f>
        <v>0</v>
      </c>
      <c r="G18" s="261">
        <f>'[1]Monthly Worksheet'!AA17</f>
        <v>0</v>
      </c>
      <c r="H18" s="262">
        <f>'[1]Monthly Worksheet'!AB17</f>
        <v>0</v>
      </c>
      <c r="S18" s="167"/>
      <c r="T18" s="97"/>
      <c r="U18" s="97"/>
      <c r="V18" s="97"/>
      <c r="W18" s="156"/>
      <c r="X18" s="97"/>
      <c r="Y18" s="97"/>
      <c r="Z18" s="97"/>
      <c r="AA18" s="97"/>
      <c r="AB18" s="97"/>
      <c r="AC18" s="156"/>
      <c r="AE18" s="10"/>
      <c r="AG18" s="30"/>
      <c r="AH18" s="30"/>
      <c r="AJ18" s="263"/>
      <c r="AK18" s="263"/>
      <c r="AL18" s="263"/>
      <c r="AN18" s="30"/>
      <c r="AO18" s="30"/>
      <c r="AP18" s="12"/>
      <c r="AQ18" s="11"/>
      <c r="AR18" s="11"/>
    </row>
    <row r="19" spans="1:44" ht="15.75" hidden="1" thickBot="1" x14ac:dyDescent="0.3">
      <c r="A19" s="59">
        <v>41030</v>
      </c>
      <c r="B19" s="192"/>
      <c r="C19" s="192"/>
      <c r="D19" s="260">
        <f>'[1]Monthly Worksheet'!G18</f>
        <v>3.7795899999999998</v>
      </c>
      <c r="E19" s="261">
        <f>'[1]Monthly Worksheet'!X18</f>
        <v>0</v>
      </c>
      <c r="F19" s="261">
        <f>'[1]Monthly Worksheet'!Y18</f>
        <v>0</v>
      </c>
      <c r="G19" s="261">
        <f>'[1]Monthly Worksheet'!AA18</f>
        <v>0</v>
      </c>
      <c r="H19" s="262">
        <f>'[1]Monthly Worksheet'!AB18</f>
        <v>0</v>
      </c>
      <c r="S19" s="167"/>
      <c r="T19" s="97"/>
      <c r="U19" s="97"/>
      <c r="V19" s="97"/>
      <c r="W19" s="156"/>
      <c r="X19" s="97"/>
      <c r="Y19" s="97"/>
      <c r="Z19" s="97"/>
      <c r="AA19" s="97"/>
      <c r="AB19" s="97"/>
      <c r="AC19" s="156"/>
      <c r="AE19" s="10"/>
      <c r="AG19" s="30"/>
      <c r="AH19" s="30"/>
      <c r="AJ19" s="263"/>
      <c r="AK19" s="263"/>
      <c r="AL19" s="263"/>
      <c r="AN19" s="30"/>
      <c r="AO19" s="30"/>
      <c r="AP19" s="12"/>
      <c r="AQ19" s="11"/>
      <c r="AR19" s="11"/>
    </row>
    <row r="20" spans="1:44" ht="15.75" hidden="1" thickBot="1" x14ac:dyDescent="0.3">
      <c r="A20" s="59">
        <v>41061</v>
      </c>
      <c r="B20" s="192"/>
      <c r="C20" s="192"/>
      <c r="D20" s="260">
        <f>'[1]Monthly Worksheet'!G19</f>
        <v>3.7745899999999999</v>
      </c>
      <c r="E20" s="261">
        <f>'[1]Monthly Worksheet'!X19</f>
        <v>0</v>
      </c>
      <c r="F20" s="261">
        <f>'[1]Monthly Worksheet'!Y19</f>
        <v>0</v>
      </c>
      <c r="G20" s="261">
        <f>'[1]Monthly Worksheet'!AA19</f>
        <v>0</v>
      </c>
      <c r="H20" s="262">
        <f>'[1]Monthly Worksheet'!AB19</f>
        <v>0</v>
      </c>
      <c r="S20" s="167"/>
      <c r="T20" s="97"/>
      <c r="U20" s="97"/>
      <c r="V20" s="97"/>
      <c r="W20" s="156"/>
      <c r="X20" s="97"/>
      <c r="Y20" s="97"/>
      <c r="Z20" s="97"/>
      <c r="AA20" s="97"/>
      <c r="AB20" s="97"/>
      <c r="AC20" s="156"/>
      <c r="AE20" s="10"/>
      <c r="AG20" s="30"/>
      <c r="AH20" s="30"/>
      <c r="AJ20" s="263"/>
      <c r="AK20" s="263"/>
      <c r="AL20" s="263"/>
      <c r="AN20" s="30"/>
      <c r="AO20" s="30"/>
      <c r="AP20" s="12"/>
      <c r="AQ20" s="11"/>
      <c r="AR20" s="11"/>
    </row>
    <row r="21" spans="1:44" ht="15.75" hidden="1" thickBot="1" x14ac:dyDescent="0.3">
      <c r="A21" s="59">
        <v>41091</v>
      </c>
      <c r="B21" s="192"/>
      <c r="C21" s="192"/>
      <c r="D21" s="260">
        <f>'[1]Monthly Worksheet'!G20</f>
        <v>3.7845899999999997</v>
      </c>
      <c r="E21" s="261">
        <f>'[1]Monthly Worksheet'!X20</f>
        <v>0</v>
      </c>
      <c r="F21" s="261">
        <f>'[1]Monthly Worksheet'!Y20</f>
        <v>0</v>
      </c>
      <c r="G21" s="261">
        <f>'[1]Monthly Worksheet'!AA20</f>
        <v>0</v>
      </c>
      <c r="H21" s="262">
        <f>'[1]Monthly Worksheet'!AB20</f>
        <v>0</v>
      </c>
      <c r="S21" s="167"/>
      <c r="T21" s="97"/>
      <c r="U21" s="97"/>
      <c r="V21" s="97"/>
      <c r="W21" s="156"/>
      <c r="X21" s="97"/>
      <c r="Y21" s="97"/>
      <c r="Z21" s="97"/>
      <c r="AA21" s="97"/>
      <c r="AB21" s="97"/>
      <c r="AC21" s="156"/>
      <c r="AE21" s="10"/>
      <c r="AG21" s="30"/>
      <c r="AH21" s="30"/>
      <c r="AJ21" s="263"/>
      <c r="AK21" s="263"/>
      <c r="AL21" s="263"/>
      <c r="AN21" s="30"/>
      <c r="AO21" s="30"/>
      <c r="AP21" s="12"/>
      <c r="AQ21" s="11"/>
      <c r="AR21" s="11"/>
    </row>
    <row r="22" spans="1:44" ht="15.75" hidden="1" thickBot="1" x14ac:dyDescent="0.3">
      <c r="A22" s="59">
        <v>41122</v>
      </c>
      <c r="B22" s="192"/>
      <c r="C22" s="192"/>
      <c r="D22" s="260">
        <f>'[1]Monthly Worksheet'!G21</f>
        <v>3.8045899999999997</v>
      </c>
      <c r="E22" s="261">
        <f>'[1]Monthly Worksheet'!X21</f>
        <v>0</v>
      </c>
      <c r="F22" s="261">
        <f>'[1]Monthly Worksheet'!Y21</f>
        <v>0</v>
      </c>
      <c r="G22" s="261">
        <f>'[1]Monthly Worksheet'!AA21</f>
        <v>0</v>
      </c>
      <c r="H22" s="262">
        <f>'[1]Monthly Worksheet'!AB21</f>
        <v>0</v>
      </c>
      <c r="S22" s="167"/>
      <c r="T22" s="97"/>
      <c r="U22" s="97"/>
      <c r="V22" s="97"/>
      <c r="W22" s="156"/>
      <c r="X22" s="97"/>
      <c r="Y22" s="97"/>
      <c r="Z22" s="97"/>
      <c r="AA22" s="97"/>
      <c r="AB22" s="97"/>
      <c r="AC22" s="156"/>
      <c r="AE22" s="10"/>
      <c r="AG22" s="30"/>
      <c r="AH22" s="30"/>
      <c r="AJ22" s="263"/>
      <c r="AK22" s="263"/>
      <c r="AL22" s="263"/>
      <c r="AN22" s="30"/>
      <c r="AO22" s="30"/>
      <c r="AP22" s="12"/>
      <c r="AQ22" s="11"/>
      <c r="AR22" s="11"/>
    </row>
    <row r="23" spans="1:44" ht="15.75" hidden="1" thickBot="1" x14ac:dyDescent="0.3">
      <c r="A23" s="59">
        <v>41153</v>
      </c>
      <c r="B23" s="192"/>
      <c r="C23" s="192"/>
      <c r="D23" s="260">
        <f>'[1]Monthly Worksheet'!G22</f>
        <v>3.8245899999999997</v>
      </c>
      <c r="E23" s="261">
        <f>'[1]Monthly Worksheet'!X22</f>
        <v>0</v>
      </c>
      <c r="F23" s="261">
        <f>'[1]Monthly Worksheet'!Y22</f>
        <v>0</v>
      </c>
      <c r="G23" s="261">
        <f>'[1]Monthly Worksheet'!AA22</f>
        <v>0</v>
      </c>
      <c r="H23" s="262">
        <f>'[1]Monthly Worksheet'!AB22</f>
        <v>0</v>
      </c>
      <c r="S23" s="167"/>
      <c r="T23" s="97"/>
      <c r="U23" s="97"/>
      <c r="V23" s="97"/>
      <c r="W23" s="156"/>
      <c r="X23" s="97"/>
      <c r="Y23" s="97"/>
      <c r="Z23" s="97"/>
      <c r="AA23" s="97"/>
      <c r="AB23" s="97"/>
      <c r="AC23" s="156"/>
      <c r="AE23" s="10"/>
      <c r="AG23" s="30"/>
      <c r="AH23" s="30"/>
      <c r="AJ23" s="263"/>
      <c r="AK23" s="263"/>
      <c r="AL23" s="263"/>
      <c r="AN23" s="30"/>
      <c r="AO23" s="30"/>
      <c r="AP23" s="12"/>
      <c r="AQ23" s="11"/>
      <c r="AR23" s="11"/>
    </row>
    <row r="24" spans="1:44" ht="15.75" hidden="1" thickBot="1" x14ac:dyDescent="0.3">
      <c r="A24" s="59">
        <v>41183</v>
      </c>
      <c r="B24" s="192"/>
      <c r="C24" s="192"/>
      <c r="D24" s="260">
        <f>'[1]Monthly Worksheet'!G23</f>
        <v>3.8870899999999997</v>
      </c>
      <c r="E24" s="261">
        <f>'[1]Monthly Worksheet'!X23</f>
        <v>0</v>
      </c>
      <c r="F24" s="261">
        <f>'[1]Monthly Worksheet'!Y23</f>
        <v>0</v>
      </c>
      <c r="G24" s="261">
        <f>'[1]Monthly Worksheet'!AA23</f>
        <v>0</v>
      </c>
      <c r="H24" s="262">
        <f>'[1]Monthly Worksheet'!AB23</f>
        <v>0</v>
      </c>
      <c r="S24" s="167"/>
      <c r="T24" s="97"/>
      <c r="U24" s="97"/>
      <c r="V24" s="97"/>
      <c r="W24" s="156"/>
      <c r="X24" s="97"/>
      <c r="Y24" s="97"/>
      <c r="Z24" s="97"/>
      <c r="AA24" s="97"/>
      <c r="AB24" s="97"/>
      <c r="AC24" s="156"/>
      <c r="AK24" s="263"/>
      <c r="AL24" s="263"/>
      <c r="AN24" s="30"/>
      <c r="AO24" s="30"/>
      <c r="AP24" s="12"/>
      <c r="AQ24" s="11"/>
      <c r="AR24" s="11"/>
    </row>
    <row r="25" spans="1:44" ht="15.75" hidden="1" thickBot="1" x14ac:dyDescent="0.3">
      <c r="A25" s="59">
        <v>41214</v>
      </c>
      <c r="B25" s="192"/>
      <c r="C25" s="192"/>
      <c r="D25" s="260">
        <f>'[1]Monthly Worksheet'!G24</f>
        <v>4.1020900000000005</v>
      </c>
      <c r="E25" s="261">
        <f>'[1]Monthly Worksheet'!X24</f>
        <v>0</v>
      </c>
      <c r="F25" s="261">
        <f>'[1]Monthly Worksheet'!Y24</f>
        <v>0</v>
      </c>
      <c r="G25" s="261">
        <f>'[1]Monthly Worksheet'!AA24</f>
        <v>0</v>
      </c>
      <c r="H25" s="262">
        <f>'[1]Monthly Worksheet'!AB24</f>
        <v>0</v>
      </c>
      <c r="S25" s="167"/>
      <c r="T25" s="97"/>
      <c r="U25" s="97"/>
      <c r="V25" s="97"/>
      <c r="W25" s="156"/>
      <c r="X25" s="97"/>
      <c r="Y25" s="97"/>
      <c r="Z25" s="97"/>
      <c r="AA25" s="97"/>
      <c r="AB25" s="97"/>
      <c r="AC25" s="156"/>
      <c r="AK25" s="263"/>
      <c r="AL25" s="263"/>
      <c r="AN25" s="30"/>
      <c r="AO25" s="30"/>
      <c r="AP25" s="12"/>
      <c r="AQ25" s="11"/>
      <c r="AR25" s="11"/>
    </row>
    <row r="26" spans="1:44" ht="15.75" hidden="1" thickBot="1" x14ac:dyDescent="0.3">
      <c r="A26" s="59">
        <v>41244</v>
      </c>
      <c r="B26" s="192"/>
      <c r="C26" s="192"/>
      <c r="D26" s="264">
        <f>'[1]Monthly Worksheet'!G25</f>
        <v>4.3420900000000007</v>
      </c>
      <c r="E26" s="265">
        <f>'[1]Monthly Worksheet'!X25</f>
        <v>0</v>
      </c>
      <c r="F26" s="265">
        <f>'[1]Monthly Worksheet'!Y25</f>
        <v>0</v>
      </c>
      <c r="G26" s="265">
        <f>'[1]Monthly Worksheet'!AA25</f>
        <v>0</v>
      </c>
      <c r="H26" s="266">
        <f>'[1]Monthly Worksheet'!AB25</f>
        <v>0</v>
      </c>
      <c r="S26" s="167"/>
      <c r="T26" s="97"/>
      <c r="U26" s="97"/>
      <c r="V26" s="97"/>
      <c r="W26" s="156"/>
      <c r="X26" s="97"/>
      <c r="Y26" s="97"/>
      <c r="Z26" s="97"/>
      <c r="AA26" s="97"/>
      <c r="AB26" s="97"/>
      <c r="AC26" s="156"/>
      <c r="AE26" s="10"/>
      <c r="AG26" s="30"/>
      <c r="AH26" s="30"/>
      <c r="AJ26" s="263"/>
      <c r="AK26" s="263"/>
      <c r="AL26" s="263"/>
      <c r="AN26" s="30"/>
      <c r="AO26" s="30"/>
      <c r="AP26" s="12"/>
      <c r="AQ26" s="11"/>
      <c r="AR26" s="11"/>
    </row>
    <row r="27" spans="1:44" ht="15.75" thickBot="1" x14ac:dyDescent="0.3">
      <c r="A27" s="59">
        <v>41275</v>
      </c>
      <c r="B27" s="192">
        <f>E27/D27</f>
        <v>9.343723891809379</v>
      </c>
      <c r="C27" s="192">
        <f>F27/D27</f>
        <v>6.8205023419522401</v>
      </c>
      <c r="D27" s="267">
        <f>MonthlyWorksheet!G26</f>
        <v>5.0575997708578662</v>
      </c>
      <c r="E27" s="258">
        <f>MonthlyWorksheet!O26</f>
        <v>47.256815814174281</v>
      </c>
      <c r="F27" s="258">
        <f>MonthlyWorksheet!S26</f>
        <v>34.495371081793188</v>
      </c>
      <c r="G27" s="268">
        <f t="shared" ref="G27:G90" ca="1" si="0">IF(E27/D27&lt;6.5,E27+$I$4*VLOOKUP(YEAR(A27),CarbonPrice,4),E27+(E27/D27*($I$3/7))*VLOOKUP(YEAR(A27),CarbonPrice,4))</f>
        <v>47.256815814174281</v>
      </c>
      <c r="H27" s="259">
        <f t="shared" ref="H27:H90" ca="1" si="1">IF(F27/$D27&lt;6.5,F27+$I$4*VLOOKUP(YEAR($A27),CarbonPrice,4),F27+(F27/$D27*($I$3/7))*VLOOKUP(YEAR($A27),CarbonPrice,4))</f>
        <v>34.495371081793188</v>
      </c>
      <c r="S27" s="167"/>
      <c r="T27" s="97"/>
      <c r="U27" s="97"/>
      <c r="V27" s="97"/>
      <c r="W27" s="156"/>
      <c r="X27" s="97"/>
      <c r="Y27" s="97"/>
      <c r="Z27" s="97"/>
      <c r="AA27" s="97"/>
      <c r="AB27" s="97"/>
      <c r="AC27" s="156"/>
      <c r="AE27" s="10"/>
      <c r="AG27" s="30"/>
      <c r="AH27" s="30"/>
      <c r="AJ27" s="263"/>
      <c r="AK27" s="263"/>
      <c r="AL27" s="263"/>
      <c r="AN27" s="30"/>
      <c r="AO27" s="30"/>
      <c r="AP27" s="12"/>
      <c r="AQ27" s="11"/>
      <c r="AR27" s="11"/>
    </row>
    <row r="28" spans="1:44" ht="15.75" thickBot="1" x14ac:dyDescent="0.3">
      <c r="A28" s="59">
        <v>41306</v>
      </c>
      <c r="B28" s="192">
        <f t="shared" ref="B28:B91" si="2">E28/D28</f>
        <v>8.8969906413947957</v>
      </c>
      <c r="C28" s="192">
        <f t="shared" ref="C28:C91" si="3">F28/D28</f>
        <v>5.7252676665604962</v>
      </c>
      <c r="D28" s="267">
        <f>MonthlyWorksheet!G27</f>
        <v>5.0253517391202811</v>
      </c>
      <c r="E28" s="258">
        <f>MonthlyWorksheet!O27</f>
        <v>44.710507392670202</v>
      </c>
      <c r="F28" s="258">
        <f>MonthlyWorksheet!S27</f>
        <v>28.771483825078903</v>
      </c>
      <c r="G28" s="268">
        <f t="shared" ca="1" si="0"/>
        <v>44.710507392670202</v>
      </c>
      <c r="H28" s="259">
        <f t="shared" ca="1" si="1"/>
        <v>28.771483825078903</v>
      </c>
      <c r="S28" s="167"/>
      <c r="T28" s="97"/>
      <c r="U28" s="97"/>
      <c r="V28" s="97"/>
      <c r="W28" s="156"/>
      <c r="X28" s="97"/>
      <c r="Y28" s="97"/>
      <c r="Z28" s="97"/>
      <c r="AA28" s="97"/>
      <c r="AB28" s="97"/>
      <c r="AC28" s="156"/>
      <c r="AE28" s="10"/>
      <c r="AG28" s="30"/>
      <c r="AH28" s="30"/>
      <c r="AJ28" s="263"/>
      <c r="AK28" s="263"/>
      <c r="AL28" s="263"/>
      <c r="AN28" s="30"/>
      <c r="AO28" s="30"/>
      <c r="AP28" s="12"/>
      <c r="AQ28" s="11"/>
      <c r="AR28" s="11"/>
    </row>
    <row r="29" spans="1:44" ht="15.75" thickBot="1" x14ac:dyDescent="0.3">
      <c r="A29" s="59">
        <v>41334</v>
      </c>
      <c r="B29" s="192">
        <f t="shared" si="2"/>
        <v>8.1937464522200365</v>
      </c>
      <c r="C29" s="192">
        <f t="shared" si="3"/>
        <v>5.0803789265541113</v>
      </c>
      <c r="D29" s="267">
        <f>MonthlyWorksheet!G28</f>
        <v>4.97077814694899</v>
      </c>
      <c r="E29" s="258">
        <f>MonthlyWorksheet!O28</f>
        <v>40.729295806336175</v>
      </c>
      <c r="F29" s="258">
        <f>MonthlyWorksheet!S28</f>
        <v>25.253436546335344</v>
      </c>
      <c r="G29" s="268">
        <f t="shared" ca="1" si="0"/>
        <v>40.729295806336175</v>
      </c>
      <c r="H29" s="259">
        <f t="shared" ca="1" si="1"/>
        <v>25.253436546335344</v>
      </c>
      <c r="S29" s="167"/>
      <c r="T29" s="97"/>
      <c r="U29" s="97"/>
      <c r="V29" s="97"/>
      <c r="W29" s="156"/>
      <c r="X29" s="97"/>
      <c r="Y29" s="97"/>
      <c r="Z29" s="97"/>
      <c r="AA29" s="97"/>
      <c r="AB29" s="97"/>
      <c r="AC29" s="156"/>
      <c r="AE29" s="10"/>
      <c r="AG29" s="30"/>
      <c r="AH29" s="30"/>
      <c r="AJ29" s="263"/>
      <c r="AK29" s="263"/>
      <c r="AL29" s="263"/>
      <c r="AN29" s="30"/>
      <c r="AO29" s="30"/>
      <c r="AP29" s="12"/>
      <c r="AQ29" s="11"/>
      <c r="AR29" s="11"/>
    </row>
    <row r="30" spans="1:44" ht="15.75" thickBot="1" x14ac:dyDescent="0.3">
      <c r="A30" s="59">
        <v>41365</v>
      </c>
      <c r="B30" s="192">
        <f t="shared" si="2"/>
        <v>8.2746789981176718</v>
      </c>
      <c r="C30" s="192">
        <f t="shared" si="3"/>
        <v>4.7223007131365344</v>
      </c>
      <c r="D30" s="267">
        <f>MonthlyWorksheet!G29</f>
        <v>4.7698481030455868</v>
      </c>
      <c r="E30" s="258">
        <f>MonthlyWorksheet!O29</f>
        <v>39.468961922482734</v>
      </c>
      <c r="F30" s="258">
        <f>MonthlyWorksheet!S29</f>
        <v>22.524657098565122</v>
      </c>
      <c r="G30" s="268">
        <f t="shared" ca="1" si="0"/>
        <v>39.468961922482734</v>
      </c>
      <c r="H30" s="259">
        <f t="shared" ca="1" si="1"/>
        <v>22.524657098565122</v>
      </c>
      <c r="S30" s="167"/>
      <c r="T30" s="97"/>
      <c r="U30" s="97"/>
      <c r="V30" s="97"/>
      <c r="W30" s="156"/>
      <c r="X30" s="97"/>
      <c r="Y30" s="97"/>
      <c r="Z30" s="97"/>
      <c r="AA30" s="97"/>
      <c r="AB30" s="97"/>
      <c r="AC30" s="156"/>
      <c r="AE30" s="10"/>
      <c r="AG30" s="30"/>
      <c r="AH30" s="30"/>
      <c r="AJ30" s="263"/>
      <c r="AK30" s="263"/>
      <c r="AL30" s="263"/>
      <c r="AN30" s="30"/>
      <c r="AO30" s="30"/>
      <c r="AP30" s="12"/>
      <c r="AQ30" s="11"/>
      <c r="AR30" s="11"/>
    </row>
    <row r="31" spans="1:44" ht="15.75" thickBot="1" x14ac:dyDescent="0.3">
      <c r="A31" s="59">
        <v>41395</v>
      </c>
      <c r="B31" s="192">
        <f t="shared" si="2"/>
        <v>6.8640287136208658</v>
      </c>
      <c r="C31" s="192">
        <f t="shared" si="3"/>
        <v>3.2443735857022364</v>
      </c>
      <c r="D31" s="267">
        <f>MonthlyWorksheet!G30</f>
        <v>4.7276776000041316</v>
      </c>
      <c r="E31" s="258">
        <f>MonthlyWorksheet!O30</f>
        <v>32.45091479517054</v>
      </c>
      <c r="F31" s="258">
        <f>MonthlyWorksheet!S30</f>
        <v>15.338352327169549</v>
      </c>
      <c r="G31" s="268">
        <f t="shared" ca="1" si="0"/>
        <v>32.45091479517054</v>
      </c>
      <c r="H31" s="259">
        <f t="shared" ca="1" si="1"/>
        <v>15.338352327169549</v>
      </c>
      <c r="S31" s="167"/>
      <c r="T31" s="97"/>
      <c r="U31" s="97"/>
      <c r="V31" s="97"/>
      <c r="W31" s="156"/>
      <c r="X31" s="97"/>
      <c r="Y31" s="97"/>
      <c r="Z31" s="97"/>
      <c r="AA31" s="97"/>
      <c r="AB31" s="97"/>
      <c r="AC31" s="156"/>
      <c r="AE31" s="10"/>
      <c r="AG31" s="30"/>
      <c r="AH31" s="30"/>
      <c r="AJ31" s="263"/>
      <c r="AK31" s="263"/>
      <c r="AL31" s="263"/>
      <c r="AN31" s="30"/>
      <c r="AO31" s="30"/>
      <c r="AP31" s="12"/>
      <c r="AQ31" s="11"/>
      <c r="AR31" s="11"/>
    </row>
    <row r="32" spans="1:44" ht="15.75" thickBot="1" x14ac:dyDescent="0.3">
      <c r="A32" s="59">
        <v>41426</v>
      </c>
      <c r="B32" s="192">
        <f t="shared" si="2"/>
        <v>5.9425283155376993</v>
      </c>
      <c r="C32" s="192">
        <f t="shared" si="3"/>
        <v>4.3847333490985561</v>
      </c>
      <c r="D32" s="267">
        <f>MonthlyWorksheet!G31</f>
        <v>4.7202357465262281</v>
      </c>
      <c r="E32" s="258">
        <f>MonthlyWorksheet!O31</f>
        <v>28.05013457974534</v>
      </c>
      <c r="F32" s="258">
        <f>MonthlyWorksheet!S31</f>
        <v>20.69697509340067</v>
      </c>
      <c r="G32" s="268">
        <f t="shared" ca="1" si="0"/>
        <v>28.05013457974534</v>
      </c>
      <c r="H32" s="259">
        <f t="shared" ca="1" si="1"/>
        <v>20.69697509340067</v>
      </c>
      <c r="S32" s="16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L32" s="263"/>
      <c r="AN32" s="30"/>
      <c r="AP32" s="12"/>
      <c r="AQ32" s="12"/>
      <c r="AR32" s="12"/>
    </row>
    <row r="33" spans="1:44" ht="15.75" thickBot="1" x14ac:dyDescent="0.3">
      <c r="A33" s="59">
        <v>41456</v>
      </c>
      <c r="B33" s="192">
        <f t="shared" si="2"/>
        <v>9.3459925645842734</v>
      </c>
      <c r="C33" s="192">
        <f t="shared" si="3"/>
        <v>5.6335518410882459</v>
      </c>
      <c r="D33" s="267">
        <f>MonthlyWorksheet!G32</f>
        <v>4.7351194534820369</v>
      </c>
      <c r="E33" s="258">
        <f>MonthlyWorksheet!O32</f>
        <v>44.254391204661466</v>
      </c>
      <c r="F33" s="258">
        <f>MonthlyWorksheet!S32</f>
        <v>26.675540914936498</v>
      </c>
      <c r="G33" s="268">
        <f t="shared" ca="1" si="0"/>
        <v>44.254391204661466</v>
      </c>
      <c r="H33" s="259">
        <f t="shared" ca="1" si="1"/>
        <v>26.675540914936498</v>
      </c>
      <c r="V33" s="269"/>
      <c r="AP33" s="12"/>
      <c r="AQ33" s="270"/>
      <c r="AR33" s="270"/>
    </row>
    <row r="34" spans="1:44" ht="15.75" thickBot="1" x14ac:dyDescent="0.3">
      <c r="A34" s="59">
        <v>41487</v>
      </c>
      <c r="B34" s="192">
        <f t="shared" si="2"/>
        <v>10.907091400010314</v>
      </c>
      <c r="C34" s="192">
        <f t="shared" si="3"/>
        <v>5.8633753864942424</v>
      </c>
      <c r="D34" s="267">
        <f>MonthlyWorksheet!G33</f>
        <v>4.7475225426118763</v>
      </c>
      <c r="E34" s="258">
        <f>MonthlyWorksheet!O33</f>
        <v>51.781662295877098</v>
      </c>
      <c r="F34" s="258">
        <f>MonthlyWorksheet!S33</f>
        <v>27.836506823177039</v>
      </c>
      <c r="G34" s="268">
        <f t="shared" ca="1" si="0"/>
        <v>51.781662295877098</v>
      </c>
      <c r="H34" s="259">
        <f t="shared" ca="1" si="1"/>
        <v>27.836506823177039</v>
      </c>
      <c r="AP34" s="12"/>
      <c r="AQ34" s="270"/>
      <c r="AR34" s="270"/>
    </row>
    <row r="35" spans="1:44" ht="15" thickBot="1" x14ac:dyDescent="0.35">
      <c r="A35" s="59">
        <v>41518</v>
      </c>
      <c r="B35" s="192">
        <f t="shared" si="2"/>
        <v>8.3193558002295678</v>
      </c>
      <c r="C35" s="192">
        <f t="shared" si="3"/>
        <v>5.1271290953191491</v>
      </c>
      <c r="D35" s="267">
        <f>MonthlyWorksheet!G34</f>
        <v>4.7921736634792982</v>
      </c>
      <c r="E35" s="258">
        <f>MonthlyWorksheet!O34</f>
        <v>39.867797762973879</v>
      </c>
      <c r="F35" s="258">
        <f>MonthlyWorksheet!S34</f>
        <v>24.570093019846865</v>
      </c>
      <c r="G35" s="268">
        <f t="shared" ca="1" si="0"/>
        <v>39.867797762973879</v>
      </c>
      <c r="H35" s="259">
        <f t="shared" ca="1" si="1"/>
        <v>24.570093019846865</v>
      </c>
      <c r="AP35" s="12"/>
      <c r="AQ35" s="270"/>
      <c r="AR35" s="270"/>
    </row>
    <row r="36" spans="1:44" ht="15" thickBot="1" x14ac:dyDescent="0.35">
      <c r="A36" s="59">
        <v>41548</v>
      </c>
      <c r="B36" s="192">
        <f t="shared" si="2"/>
        <v>9.0650503761597143</v>
      </c>
      <c r="C36" s="192">
        <f t="shared" si="3"/>
        <v>5.3718609197999285</v>
      </c>
      <c r="D36" s="267">
        <f>MonthlyWorksheet!G35</f>
        <v>4.7045925931171908</v>
      </c>
      <c r="E36" s="258">
        <f>MonthlyWorksheet!O35</f>
        <v>42.647368855915197</v>
      </c>
      <c r="F36" s="258">
        <f>MonthlyWorksheet!S35</f>
        <v>25.272417094546444</v>
      </c>
      <c r="G36" s="268">
        <f t="shared" ca="1" si="0"/>
        <v>42.647368855915197</v>
      </c>
      <c r="H36" s="259">
        <f t="shared" ca="1" si="1"/>
        <v>25.272417094546444</v>
      </c>
      <c r="AP36" s="12"/>
      <c r="AQ36" s="270"/>
      <c r="AR36" s="270"/>
    </row>
    <row r="37" spans="1:44" ht="15" thickBot="1" x14ac:dyDescent="0.35">
      <c r="A37" s="59">
        <v>41579</v>
      </c>
      <c r="B37" s="192">
        <f t="shared" si="2"/>
        <v>8.1475671112600043</v>
      </c>
      <c r="C37" s="192">
        <f t="shared" si="3"/>
        <v>4.8470337681523326</v>
      </c>
      <c r="D37" s="267">
        <f>MonthlyWorksheet!G36</f>
        <v>4.9309442844626714</v>
      </c>
      <c r="E37" s="258">
        <f>MonthlyWorksheet!O36</f>
        <v>40.175199479543558</v>
      </c>
      <c r="F37" s="258">
        <f>MonthlyWorksheet!S36</f>
        <v>23.900453455668309</v>
      </c>
      <c r="G37" s="268">
        <f t="shared" ca="1" si="0"/>
        <v>40.175199479543558</v>
      </c>
      <c r="H37" s="259">
        <f t="shared" ca="1" si="1"/>
        <v>23.900453455668309</v>
      </c>
    </row>
    <row r="38" spans="1:44" ht="15" thickBot="1" x14ac:dyDescent="0.35">
      <c r="A38" s="59">
        <v>41609</v>
      </c>
      <c r="B38" s="192">
        <f t="shared" si="2"/>
        <v>7.0535432395959967</v>
      </c>
      <c r="C38" s="192">
        <f t="shared" si="3"/>
        <v>5.2698969899925139</v>
      </c>
      <c r="D38" s="267">
        <f>MonthlyWorksheet!G37</f>
        <v>5.1078452684646578</v>
      </c>
      <c r="E38" s="258">
        <f>MonthlyWorksheet!O37</f>
        <v>36.028407462281287</v>
      </c>
      <c r="F38" s="258">
        <f>MonthlyWorksheet!S37</f>
        <v>26.917818405629404</v>
      </c>
      <c r="G38" s="268">
        <f t="shared" ca="1" si="0"/>
        <v>36.028407462281287</v>
      </c>
      <c r="H38" s="259">
        <f t="shared" ca="1" si="1"/>
        <v>26.917818405629404</v>
      </c>
    </row>
    <row r="39" spans="1:44" ht="15" thickBot="1" x14ac:dyDescent="0.35">
      <c r="A39" s="59">
        <v>41640</v>
      </c>
      <c r="B39" s="192">
        <f t="shared" si="2"/>
        <v>9.343723891809379</v>
      </c>
      <c r="C39" s="192">
        <f t="shared" si="3"/>
        <v>6.8205023419522393</v>
      </c>
      <c r="D39" s="267">
        <f>MonthlyWorksheet!G38</f>
        <v>5.1176007811148212</v>
      </c>
      <c r="E39" s="258">
        <f>MonthlyWorksheet!O38</f>
        <v>47.817448687244898</v>
      </c>
      <c r="F39" s="258">
        <f>MonthlyWorksheet!S38</f>
        <v>34.904608112770248</v>
      </c>
      <c r="G39" s="268">
        <f t="shared" ca="1" si="0"/>
        <v>47.817448687244898</v>
      </c>
      <c r="H39" s="259">
        <f t="shared" ca="1" si="1"/>
        <v>34.904608112770248</v>
      </c>
    </row>
    <row r="40" spans="1:44" ht="15" thickBot="1" x14ac:dyDescent="0.35">
      <c r="A40" s="59">
        <v>41671</v>
      </c>
      <c r="B40" s="192">
        <f t="shared" si="2"/>
        <v>8.8969906413947957</v>
      </c>
      <c r="C40" s="192">
        <f t="shared" si="3"/>
        <v>5.7252676665604962</v>
      </c>
      <c r="D40" s="267">
        <f>MonthlyWorksheet!G39</f>
        <v>5.0849701737344972</v>
      </c>
      <c r="E40" s="258">
        <f>MonthlyWorksheet!O39</f>
        <v>45.24093204748749</v>
      </c>
      <c r="F40" s="258">
        <f>MonthlyWorksheet!S39</f>
        <v>29.112815321106627</v>
      </c>
      <c r="G40" s="268">
        <f t="shared" ca="1" si="0"/>
        <v>45.24093204748749</v>
      </c>
      <c r="H40" s="259">
        <f t="shared" ca="1" si="1"/>
        <v>29.112815321106627</v>
      </c>
    </row>
    <row r="41" spans="1:44" ht="15" thickBot="1" x14ac:dyDescent="0.35">
      <c r="A41" s="59">
        <v>41699</v>
      </c>
      <c r="B41" s="192">
        <f t="shared" si="2"/>
        <v>8.1937464522200365</v>
      </c>
      <c r="C41" s="192">
        <f t="shared" si="3"/>
        <v>5.0803789265541113</v>
      </c>
      <c r="D41" s="267">
        <f>MonthlyWorksheet!G40</f>
        <v>5.0297491458601087</v>
      </c>
      <c r="E41" s="258">
        <f>MonthlyWorksheet!O40</f>
        <v>41.212489219448024</v>
      </c>
      <c r="F41" s="258">
        <f>MonthlyWorksheet!S40</f>
        <v>25.553031566481238</v>
      </c>
      <c r="G41" s="268">
        <f t="shared" ca="1" si="0"/>
        <v>41.212489219448024</v>
      </c>
      <c r="H41" s="259">
        <f t="shared" ca="1" si="1"/>
        <v>25.553031566481238</v>
      </c>
    </row>
    <row r="42" spans="1:44" ht="15" thickBot="1" x14ac:dyDescent="0.35">
      <c r="A42" s="59">
        <v>41730</v>
      </c>
      <c r="B42" s="192">
        <f t="shared" si="2"/>
        <v>8.2746789981176718</v>
      </c>
      <c r="C42" s="192">
        <f t="shared" si="3"/>
        <v>4.7223007131365344</v>
      </c>
      <c r="D42" s="267">
        <f>MonthlyWorksheet!G41</f>
        <v>4.8264353614134849</v>
      </c>
      <c r="E42" s="258">
        <f>MonthlyWorksheet!O41</f>
        <v>39.93720332086064</v>
      </c>
      <c r="F42" s="258">
        <f>MonthlyWorksheet!S41</f>
        <v>22.791879149110287</v>
      </c>
      <c r="G42" s="268">
        <f t="shared" ca="1" si="0"/>
        <v>39.93720332086064</v>
      </c>
      <c r="H42" s="259">
        <f t="shared" ca="1" si="1"/>
        <v>22.791879149110287</v>
      </c>
    </row>
    <row r="43" spans="1:44" ht="15" thickBot="1" x14ac:dyDescent="0.35">
      <c r="A43" s="59">
        <v>41760</v>
      </c>
      <c r="B43" s="192">
        <f t="shared" si="2"/>
        <v>6.8640287136208658</v>
      </c>
      <c r="C43" s="192">
        <f t="shared" si="3"/>
        <v>3.2443735857022364</v>
      </c>
      <c r="D43" s="267">
        <f>MonthlyWorksheet!G42</f>
        <v>4.7837645671469096</v>
      </c>
      <c r="E43" s="258">
        <f>MonthlyWorksheet!O42</f>
        <v>32.835897348098477</v>
      </c>
      <c r="F43" s="258">
        <f>MonthlyWorksheet!S42</f>
        <v>15.520319401869726</v>
      </c>
      <c r="G43" s="268">
        <f t="shared" ca="1" si="0"/>
        <v>32.835897348098477</v>
      </c>
      <c r="H43" s="259">
        <f t="shared" ca="1" si="1"/>
        <v>15.520319401869726</v>
      </c>
    </row>
    <row r="44" spans="1:44" ht="15" thickBot="1" x14ac:dyDescent="0.35">
      <c r="A44" s="59">
        <v>41791</v>
      </c>
      <c r="B44" s="192">
        <f t="shared" si="2"/>
        <v>5.9425283155376993</v>
      </c>
      <c r="C44" s="192">
        <f t="shared" si="3"/>
        <v>4.3847333490985561</v>
      </c>
      <c r="D44" s="267">
        <f>MonthlyWorksheet!G43</f>
        <v>4.7762344269822199</v>
      </c>
      <c r="E44" s="258">
        <f>MonthlyWorksheet!O43</f>
        <v>28.38290832398782</v>
      </c>
      <c r="F44" s="258">
        <f>MonthlyWorksheet!S43</f>
        <v>20.94251437510157</v>
      </c>
      <c r="G44" s="268">
        <f t="shared" ca="1" si="0"/>
        <v>28.38290832398782</v>
      </c>
      <c r="H44" s="259">
        <f t="shared" ca="1" si="1"/>
        <v>20.94251437510157</v>
      </c>
    </row>
    <row r="45" spans="1:44" ht="15" thickBot="1" x14ac:dyDescent="0.35">
      <c r="A45" s="59">
        <v>41821</v>
      </c>
      <c r="B45" s="192">
        <f t="shared" si="2"/>
        <v>9.3459925645842734</v>
      </c>
      <c r="C45" s="192">
        <f t="shared" si="3"/>
        <v>5.6335518410882459</v>
      </c>
      <c r="D45" s="267">
        <f>MonthlyWorksheet!G44</f>
        <v>4.791294707311601</v>
      </c>
      <c r="E45" s="258">
        <f>MonthlyWorksheet!O44</f>
        <v>44.779404709266203</v>
      </c>
      <c r="F45" s="258">
        <f>MonthlyWorksheet!S44</f>
        <v>26.992007119571639</v>
      </c>
      <c r="G45" s="268">
        <f t="shared" ca="1" si="0"/>
        <v>44.779404709266203</v>
      </c>
      <c r="H45" s="259">
        <f t="shared" ca="1" si="1"/>
        <v>26.992007119571639</v>
      </c>
    </row>
    <row r="46" spans="1:44" ht="15" thickBot="1" x14ac:dyDescent="0.35">
      <c r="A46" s="59">
        <v>41852</v>
      </c>
      <c r="B46" s="192">
        <f t="shared" si="2"/>
        <v>10.907091400010314</v>
      </c>
      <c r="C46" s="192">
        <f t="shared" si="3"/>
        <v>5.8633753864942424</v>
      </c>
      <c r="D46" s="267">
        <f>MonthlyWorksheet!G45</f>
        <v>4.8038449409194159</v>
      </c>
      <c r="E46" s="258">
        <f>MonthlyWorksheet!O45</f>
        <v>52.395975842085214</v>
      </c>
      <c r="F46" s="258">
        <f>MonthlyWorksheet!S45</f>
        <v>28.166746187121792</v>
      </c>
      <c r="G46" s="268">
        <f t="shared" ca="1" si="0"/>
        <v>52.395975842085214</v>
      </c>
      <c r="H46" s="259">
        <f t="shared" ca="1" si="1"/>
        <v>28.166746187121792</v>
      </c>
    </row>
    <row r="47" spans="1:44" ht="15" thickBot="1" x14ac:dyDescent="0.35">
      <c r="A47" s="59">
        <v>41883</v>
      </c>
      <c r="B47" s="192">
        <f t="shared" si="2"/>
        <v>8.3193558002295678</v>
      </c>
      <c r="C47" s="192">
        <f t="shared" si="3"/>
        <v>5.1271290953191491</v>
      </c>
      <c r="D47" s="267">
        <f>MonthlyWorksheet!G46</f>
        <v>4.849025781907554</v>
      </c>
      <c r="E47" s="258">
        <f>MonthlyWorksheet!O46</f>
        <v>40.340770764175325</v>
      </c>
      <c r="F47" s="258">
        <f>MonthlyWorksheet!S46</f>
        <v>24.861581170370908</v>
      </c>
      <c r="G47" s="268">
        <f t="shared" ca="1" si="0"/>
        <v>40.340770764175325</v>
      </c>
      <c r="H47" s="259">
        <f t="shared" ca="1" si="1"/>
        <v>24.861581170370908</v>
      </c>
    </row>
    <row r="48" spans="1:44" ht="15" thickBot="1" x14ac:dyDescent="0.35">
      <c r="A48" s="59">
        <v>41913</v>
      </c>
      <c r="B48" s="192">
        <f t="shared" si="2"/>
        <v>9.0650503761597143</v>
      </c>
      <c r="C48" s="192">
        <f t="shared" si="3"/>
        <v>5.3718609197999285</v>
      </c>
      <c r="D48" s="267">
        <f>MonthlyWorksheet!G47</f>
        <v>4.7604056904802778</v>
      </c>
      <c r="E48" s="258">
        <f>MonthlyWorksheet!O47</f>
        <v>43.153317395161089</v>
      </c>
      <c r="F48" s="258">
        <f>MonthlyWorksheet!S47</f>
        <v>25.5722372910842</v>
      </c>
      <c r="G48" s="268">
        <f t="shared" ca="1" si="0"/>
        <v>43.153317395161089</v>
      </c>
      <c r="H48" s="259">
        <f t="shared" ca="1" si="1"/>
        <v>25.5722372910842</v>
      </c>
    </row>
    <row r="49" spans="1:8" ht="15" thickBot="1" x14ac:dyDescent="0.35">
      <c r="A49" s="59">
        <v>41944</v>
      </c>
      <c r="B49" s="192">
        <f t="shared" si="2"/>
        <v>8.1475671112600043</v>
      </c>
      <c r="C49" s="192">
        <f t="shared" si="3"/>
        <v>4.8470337681523326</v>
      </c>
      <c r="D49" s="267">
        <f>MonthlyWorksheet!G48</f>
        <v>4.9894427129649204</v>
      </c>
      <c r="E49" s="258">
        <f>MonthlyWorksheet!O48</f>
        <v>40.651819351668877</v>
      </c>
      <c r="F49" s="258">
        <f>MonthlyWorksheet!S48</f>
        <v>24.183997314002553</v>
      </c>
      <c r="G49" s="268">
        <f t="shared" ca="1" si="0"/>
        <v>40.651819351668877</v>
      </c>
      <c r="H49" s="259">
        <f t="shared" ca="1" si="1"/>
        <v>24.183997314002553</v>
      </c>
    </row>
    <row r="50" spans="1:8" ht="15" thickBot="1" x14ac:dyDescent="0.35">
      <c r="A50" s="59">
        <v>41974</v>
      </c>
      <c r="B50" s="192">
        <f t="shared" si="2"/>
        <v>7.0535432395959958</v>
      </c>
      <c r="C50" s="192">
        <f t="shared" si="3"/>
        <v>5.2698969899925139</v>
      </c>
      <c r="D50" s="267">
        <f>MonthlyWorksheet!G49</f>
        <v>5.1684423679247642</v>
      </c>
      <c r="E50" s="258">
        <f>MonthlyWorksheet!O49</f>
        <v>36.455831723517242</v>
      </c>
      <c r="F50" s="258">
        <f>MonthlyWorksheet!S49</f>
        <v>27.237158877676496</v>
      </c>
      <c r="G50" s="268">
        <f t="shared" ca="1" si="0"/>
        <v>36.455831723517242</v>
      </c>
      <c r="H50" s="259">
        <f t="shared" ca="1" si="1"/>
        <v>27.237158877676496</v>
      </c>
    </row>
    <row r="51" spans="1:8" ht="15" thickBot="1" x14ac:dyDescent="0.35">
      <c r="A51" s="59">
        <v>42005</v>
      </c>
      <c r="B51" s="192">
        <f t="shared" si="2"/>
        <v>9.343723891809379</v>
      </c>
      <c r="C51" s="192">
        <f t="shared" si="3"/>
        <v>6.8205023419522393</v>
      </c>
      <c r="D51" s="267">
        <f>MonthlyWorksheet!G50</f>
        <v>5.4845547061985966</v>
      </c>
      <c r="E51" s="258">
        <f>MonthlyWorksheet!O50</f>
        <v>51.246164844243395</v>
      </c>
      <c r="F51" s="258">
        <f>MonthlyWorksheet!S50</f>
        <v>37.407418218192703</v>
      </c>
      <c r="G51" s="268">
        <f t="shared" ca="1" si="0"/>
        <v>51.246164844243395</v>
      </c>
      <c r="H51" s="259">
        <f t="shared" ca="1" si="1"/>
        <v>37.407418218192703</v>
      </c>
    </row>
    <row r="52" spans="1:8" ht="15" thickBot="1" x14ac:dyDescent="0.35">
      <c r="A52" s="59">
        <v>42036</v>
      </c>
      <c r="B52" s="192">
        <f t="shared" si="2"/>
        <v>8.8969906413947957</v>
      </c>
      <c r="C52" s="192">
        <f t="shared" si="3"/>
        <v>5.7252676665604962</v>
      </c>
      <c r="D52" s="267">
        <f>MonthlyWorksheet!G51</f>
        <v>5.4495843443184171</v>
      </c>
      <c r="E52" s="258">
        <f>MonthlyWorksheet!O51</f>
        <v>48.484900910892549</v>
      </c>
      <c r="F52" s="258">
        <f>MonthlyWorksheet!S51</f>
        <v>31.200329042720515</v>
      </c>
      <c r="G52" s="268">
        <f t="shared" ca="1" si="0"/>
        <v>48.484900910892549</v>
      </c>
      <c r="H52" s="259">
        <f t="shared" ca="1" si="1"/>
        <v>31.200329042720515</v>
      </c>
    </row>
    <row r="53" spans="1:8" ht="15" thickBot="1" x14ac:dyDescent="0.35">
      <c r="A53" s="59">
        <v>42064</v>
      </c>
      <c r="B53" s="192">
        <f t="shared" si="2"/>
        <v>8.1937464522200365</v>
      </c>
      <c r="C53" s="192">
        <f t="shared" si="3"/>
        <v>5.0803789265541113</v>
      </c>
      <c r="D53" s="267">
        <f>MonthlyWorksheet!G52</f>
        <v>5.3904037319058116</v>
      </c>
      <c r="E53" s="258">
        <f>MonthlyWorksheet!O52</f>
        <v>44.167601454336889</v>
      </c>
      <c r="F53" s="258">
        <f>MonthlyWorksheet!S52</f>
        <v>27.385293525192921</v>
      </c>
      <c r="G53" s="268">
        <f t="shared" ca="1" si="0"/>
        <v>44.167601454336889</v>
      </c>
      <c r="H53" s="259">
        <f t="shared" ca="1" si="1"/>
        <v>27.385293525192921</v>
      </c>
    </row>
    <row r="54" spans="1:8" ht="15" thickBot="1" x14ac:dyDescent="0.35">
      <c r="A54" s="59">
        <v>42095</v>
      </c>
      <c r="B54" s="192">
        <f t="shared" si="2"/>
        <v>8.2746789981176718</v>
      </c>
      <c r="C54" s="192">
        <f t="shared" si="3"/>
        <v>4.7223007131365344</v>
      </c>
      <c r="D54" s="267">
        <f>MonthlyWorksheet!G53</f>
        <v>5.1725114771139351</v>
      </c>
      <c r="E54" s="258">
        <f>MonthlyWorksheet!O53</f>
        <v>42.800872087197298</v>
      </c>
      <c r="F54" s="258">
        <f>MonthlyWorksheet!S53</f>
        <v>24.426154637082046</v>
      </c>
      <c r="G54" s="268">
        <f t="shared" ca="1" si="0"/>
        <v>42.800872087197298</v>
      </c>
      <c r="H54" s="259">
        <f t="shared" ca="1" si="1"/>
        <v>24.426154637082046</v>
      </c>
    </row>
    <row r="55" spans="1:8" ht="15" thickBot="1" x14ac:dyDescent="0.35">
      <c r="A55" s="59">
        <v>42125</v>
      </c>
      <c r="B55" s="192">
        <f t="shared" si="2"/>
        <v>6.8640287136208658</v>
      </c>
      <c r="C55" s="192">
        <f t="shared" si="3"/>
        <v>3.2443735857022364</v>
      </c>
      <c r="D55" s="267">
        <f>MonthlyWorksheet!G54</f>
        <v>5.1267810038860109</v>
      </c>
      <c r="E55" s="258">
        <f>MonthlyWorksheet!O54</f>
        <v>35.190372019119586</v>
      </c>
      <c r="F55" s="258">
        <f>MonthlyWorksheet!S54</f>
        <v>16.633192868687768</v>
      </c>
      <c r="G55" s="268">
        <f t="shared" ca="1" si="0"/>
        <v>35.190372019119586</v>
      </c>
      <c r="H55" s="259">
        <f t="shared" ca="1" si="1"/>
        <v>16.633192868687768</v>
      </c>
    </row>
    <row r="56" spans="1:8" ht="15" thickBot="1" x14ac:dyDescent="0.35">
      <c r="A56" s="59">
        <v>42156</v>
      </c>
      <c r="B56" s="192">
        <f t="shared" si="2"/>
        <v>5.9425283155376993</v>
      </c>
      <c r="C56" s="192">
        <f t="shared" si="3"/>
        <v>4.3847333490985561</v>
      </c>
      <c r="D56" s="267">
        <f>MonthlyWorksheet!G55</f>
        <v>5.1187109203752001</v>
      </c>
      <c r="E56" s="258">
        <f>MonthlyWorksheet!O55</f>
        <v>30.418084583381663</v>
      </c>
      <c r="F56" s="258">
        <f>MonthlyWorksheet!S55</f>
        <v>22.444182476964105</v>
      </c>
      <c r="G56" s="268">
        <f t="shared" ca="1" si="0"/>
        <v>30.418084583381663</v>
      </c>
      <c r="H56" s="259">
        <f t="shared" ca="1" si="1"/>
        <v>22.444182476964105</v>
      </c>
    </row>
    <row r="57" spans="1:8" ht="15" thickBot="1" x14ac:dyDescent="0.35">
      <c r="A57" s="59">
        <v>42186</v>
      </c>
      <c r="B57" s="192">
        <f t="shared" si="2"/>
        <v>9.3459925645842734</v>
      </c>
      <c r="C57" s="192">
        <f t="shared" si="3"/>
        <v>5.6335518410882459</v>
      </c>
      <c r="D57" s="267">
        <f>MonthlyWorksheet!G56</f>
        <v>5.1348510873968225</v>
      </c>
      <c r="E57" s="258">
        <f>MonthlyWorksheet!O56</f>
        <v>47.990280083058174</v>
      </c>
      <c r="F57" s="258">
        <f>MonthlyWorksheet!S56</f>
        <v>28.927449797118349</v>
      </c>
      <c r="G57" s="268">
        <f t="shared" ca="1" si="0"/>
        <v>47.990280083058174</v>
      </c>
      <c r="H57" s="259">
        <f t="shared" ca="1" si="1"/>
        <v>28.927449797118349</v>
      </c>
    </row>
    <row r="58" spans="1:8" ht="15" thickBot="1" x14ac:dyDescent="0.35">
      <c r="A58" s="59">
        <v>42217</v>
      </c>
      <c r="B58" s="192">
        <f t="shared" si="2"/>
        <v>10.907091400010314</v>
      </c>
      <c r="C58" s="192">
        <f t="shared" si="3"/>
        <v>5.8633753864942424</v>
      </c>
      <c r="D58" s="267">
        <f>MonthlyWorksheet!G57</f>
        <v>5.1483012265815056</v>
      </c>
      <c r="E58" s="258">
        <f>MonthlyWorksheet!O57</f>
        <v>56.15299203310969</v>
      </c>
      <c r="F58" s="258">
        <f>MonthlyWorksheet!S57</f>
        <v>30.186422694196118</v>
      </c>
      <c r="G58" s="268">
        <f t="shared" ca="1" si="0"/>
        <v>56.15299203310969</v>
      </c>
      <c r="H58" s="259">
        <f t="shared" ca="1" si="1"/>
        <v>30.186422694196118</v>
      </c>
    </row>
    <row r="59" spans="1:8" ht="15" thickBot="1" x14ac:dyDescent="0.35">
      <c r="A59" s="59">
        <v>42248</v>
      </c>
      <c r="B59" s="192">
        <f t="shared" si="2"/>
        <v>8.3193558002295678</v>
      </c>
      <c r="C59" s="192">
        <f t="shared" si="3"/>
        <v>5.1271290953191491</v>
      </c>
      <c r="D59" s="267">
        <f>MonthlyWorksheet!G58</f>
        <v>5.1967217276463655</v>
      </c>
      <c r="E59" s="258">
        <f>MonthlyWorksheet!O58</f>
        <v>43.233377047073809</v>
      </c>
      <c r="F59" s="258">
        <f>MonthlyWorksheet!S58</f>
        <v>26.644263170092877</v>
      </c>
      <c r="G59" s="268">
        <f t="shared" ca="1" si="0"/>
        <v>43.233377047073809</v>
      </c>
      <c r="H59" s="259">
        <f t="shared" ca="1" si="1"/>
        <v>26.644263170092877</v>
      </c>
    </row>
    <row r="60" spans="1:8" ht="15" thickBot="1" x14ac:dyDescent="0.35">
      <c r="A60" s="59">
        <v>42278</v>
      </c>
      <c r="B60" s="192">
        <f t="shared" si="2"/>
        <v>9.0650503761597143</v>
      </c>
      <c r="C60" s="192">
        <f t="shared" si="3"/>
        <v>5.3718609197999285</v>
      </c>
      <c r="D60" s="267">
        <f>MonthlyWorksheet!G59</f>
        <v>5.101747195577583</v>
      </c>
      <c r="E60" s="258">
        <f>MonthlyWorksheet!O59</f>
        <v>46.247595334342336</v>
      </c>
      <c r="F60" s="258">
        <f>MonthlyWorksheet!S59</f>
        <v>27.4058763826221</v>
      </c>
      <c r="G60" s="268">
        <f t="shared" ca="1" si="0"/>
        <v>46.247595334342336</v>
      </c>
      <c r="H60" s="259">
        <f t="shared" ca="1" si="1"/>
        <v>27.4058763826221</v>
      </c>
    </row>
    <row r="61" spans="1:8" ht="15" thickBot="1" x14ac:dyDescent="0.35">
      <c r="A61" s="59">
        <v>42309</v>
      </c>
      <c r="B61" s="192">
        <f t="shared" si="2"/>
        <v>8.1475671112600043</v>
      </c>
      <c r="C61" s="192">
        <f t="shared" si="3"/>
        <v>4.8470337681523326</v>
      </c>
      <c r="D61" s="267">
        <f>MonthlyWorksheet!G60</f>
        <v>5.3472071549002038</v>
      </c>
      <c r="E61" s="258">
        <f>MonthlyWorksheet!O60</f>
        <v>43.566729152359081</v>
      </c>
      <c r="F61" s="258">
        <f>MonthlyWorksheet!S60</f>
        <v>25.918093645107049</v>
      </c>
      <c r="G61" s="268">
        <f t="shared" ca="1" si="0"/>
        <v>43.566729152359081</v>
      </c>
      <c r="H61" s="259">
        <f t="shared" ca="1" si="1"/>
        <v>25.918093645107049</v>
      </c>
    </row>
    <row r="62" spans="1:8" ht="15" thickBot="1" x14ac:dyDescent="0.35">
      <c r="A62" s="59">
        <v>42339</v>
      </c>
      <c r="B62" s="192">
        <f t="shared" si="2"/>
        <v>7.0535432395959967</v>
      </c>
      <c r="C62" s="192">
        <f t="shared" si="3"/>
        <v>5.2698969899925139</v>
      </c>
      <c r="D62" s="267">
        <f>MonthlyWorksheet!G61</f>
        <v>5.5390418528392802</v>
      </c>
      <c r="E62" s="258">
        <f>MonthlyWorksheet!O61</f>
        <v>39.069871214933791</v>
      </c>
      <c r="F62" s="258">
        <f>MonthlyWorksheet!S61</f>
        <v>29.190179987720281</v>
      </c>
      <c r="G62" s="268">
        <f t="shared" ca="1" si="0"/>
        <v>39.069871214933791</v>
      </c>
      <c r="H62" s="259">
        <f t="shared" ca="1" si="1"/>
        <v>29.190179987720281</v>
      </c>
    </row>
    <row r="63" spans="1:8" ht="15" thickBot="1" x14ac:dyDescent="0.35">
      <c r="A63" s="59">
        <v>42370</v>
      </c>
      <c r="B63" s="192">
        <f t="shared" si="2"/>
        <v>9.343723891809379</v>
      </c>
      <c r="C63" s="192">
        <f t="shared" si="3"/>
        <v>6.8205023419522393</v>
      </c>
      <c r="D63" s="267">
        <f>MonthlyWorksheet!G62</f>
        <v>5.7994814347661645</v>
      </c>
      <c r="E63" s="258">
        <f>MonthlyWorksheet!O62</f>
        <v>54.18875324212955</v>
      </c>
      <c r="F63" s="258">
        <f>MonthlyWorksheet!S62</f>
        <v>39.55537670793116</v>
      </c>
      <c r="G63" s="268">
        <f t="shared" ca="1" si="0"/>
        <v>54.18875324212955</v>
      </c>
      <c r="H63" s="259">
        <f t="shared" ca="1" si="1"/>
        <v>39.55537670793116</v>
      </c>
    </row>
    <row r="64" spans="1:8" ht="15" thickBot="1" x14ac:dyDescent="0.35">
      <c r="A64" s="59">
        <v>42401</v>
      </c>
      <c r="B64" s="192">
        <f t="shared" si="2"/>
        <v>8.8969906413947957</v>
      </c>
      <c r="C64" s="192">
        <f t="shared" si="3"/>
        <v>5.7252676665604962</v>
      </c>
      <c r="D64" s="267">
        <f>MonthlyWorksheet!G63</f>
        <v>5.7625030517696487</v>
      </c>
      <c r="E64" s="258">
        <f>MonthlyWorksheet!O63</f>
        <v>51.268935722603516</v>
      </c>
      <c r="F64" s="258">
        <f>MonthlyWorksheet!S63</f>
        <v>32.991872400752953</v>
      </c>
      <c r="G64" s="268">
        <f t="shared" ca="1" si="0"/>
        <v>51.268935722603516</v>
      </c>
      <c r="H64" s="259">
        <f t="shared" ca="1" si="1"/>
        <v>32.991872400752953</v>
      </c>
    </row>
    <row r="65" spans="1:8" ht="15" thickBot="1" x14ac:dyDescent="0.35">
      <c r="A65" s="59">
        <v>42430</v>
      </c>
      <c r="B65" s="192">
        <f t="shared" si="2"/>
        <v>8.1937464522200365</v>
      </c>
      <c r="C65" s="192">
        <f t="shared" si="3"/>
        <v>5.0803789265541113</v>
      </c>
      <c r="D65" s="267">
        <f>MonthlyWorksheet!G64</f>
        <v>5.6999242497755516</v>
      </c>
      <c r="E65" s="258">
        <f>MonthlyWorksheet!O64</f>
        <v>46.703734099521377</v>
      </c>
      <c r="F65" s="258">
        <f>MonthlyWorksheet!S64</f>
        <v>28.957775041514466</v>
      </c>
      <c r="G65" s="268">
        <f t="shared" ca="1" si="0"/>
        <v>46.703734099521377</v>
      </c>
      <c r="H65" s="259">
        <f t="shared" ca="1" si="1"/>
        <v>28.957775041514466</v>
      </c>
    </row>
    <row r="66" spans="1:8" ht="15" thickBot="1" x14ac:dyDescent="0.35">
      <c r="A66" s="59">
        <v>42461</v>
      </c>
      <c r="B66" s="192">
        <f t="shared" si="2"/>
        <v>8.2746789981176718</v>
      </c>
      <c r="C66" s="192">
        <f t="shared" si="3"/>
        <v>4.7223007131365344</v>
      </c>
      <c r="D66" s="267">
        <f>MonthlyWorksheet!G65</f>
        <v>5.4695204787972722</v>
      </c>
      <c r="E66" s="258">
        <f>MonthlyWorksheet!O65</f>
        <v>45.258526235678303</v>
      </c>
      <c r="F66" s="258">
        <f>MonthlyWorksheet!S65</f>
        <v>25.828720457539237</v>
      </c>
      <c r="G66" s="268">
        <f t="shared" ca="1" si="0"/>
        <v>45.258526235678303</v>
      </c>
      <c r="H66" s="259">
        <f t="shared" ca="1" si="1"/>
        <v>25.828720457539237</v>
      </c>
    </row>
    <row r="67" spans="1:8" ht="15" thickBot="1" x14ac:dyDescent="0.35">
      <c r="A67" s="59">
        <v>42491</v>
      </c>
      <c r="B67" s="192">
        <f t="shared" si="2"/>
        <v>6.8640287136208649</v>
      </c>
      <c r="C67" s="192">
        <f t="shared" si="3"/>
        <v>3.2443735857022364</v>
      </c>
      <c r="D67" s="267">
        <f>MonthlyWorksheet!G66</f>
        <v>5.4211641318018309</v>
      </c>
      <c r="E67" s="258">
        <f>MonthlyWorksheet!O66</f>
        <v>37.211026261939296</v>
      </c>
      <c r="F67" s="258">
        <f>MonthlyWorksheet!S66</f>
        <v>17.588281712974258</v>
      </c>
      <c r="G67" s="268">
        <f t="shared" ca="1" si="0"/>
        <v>37.211026261939296</v>
      </c>
      <c r="H67" s="259">
        <f t="shared" ca="1" si="1"/>
        <v>17.588281712974258</v>
      </c>
    </row>
    <row r="68" spans="1:8" ht="15" thickBot="1" x14ac:dyDescent="0.35">
      <c r="A68" s="59">
        <v>42522</v>
      </c>
      <c r="B68" s="192">
        <f t="shared" si="2"/>
        <v>5.9425283155376993</v>
      </c>
      <c r="C68" s="192">
        <f t="shared" si="3"/>
        <v>4.3847333490985561</v>
      </c>
      <c r="D68" s="267">
        <f>MonthlyWorksheet!G67</f>
        <v>5.4126306588026347</v>
      </c>
      <c r="E68" s="258">
        <f>MonthlyWorksheet!O67</f>
        <v>32.164710951482128</v>
      </c>
      <c r="F68" s="258">
        <f>MonthlyWorksheet!S67</f>
        <v>23.732942156005201</v>
      </c>
      <c r="G68" s="268">
        <f t="shared" ca="1" si="0"/>
        <v>32.164710951482128</v>
      </c>
      <c r="H68" s="259">
        <f t="shared" ca="1" si="1"/>
        <v>23.732942156005201</v>
      </c>
    </row>
    <row r="69" spans="1:8" ht="15" thickBot="1" x14ac:dyDescent="0.35">
      <c r="A69" s="59">
        <v>42552</v>
      </c>
      <c r="B69" s="192">
        <f t="shared" si="2"/>
        <v>9.3459925645842734</v>
      </c>
      <c r="C69" s="192">
        <f t="shared" si="3"/>
        <v>5.6335518410882459</v>
      </c>
      <c r="D69" s="267">
        <f>MonthlyWorksheet!G68</f>
        <v>5.4296976048010279</v>
      </c>
      <c r="E69" s="258">
        <f>MonthlyWorksheet!O68</f>
        <v>50.745913442411442</v>
      </c>
      <c r="F69" s="258">
        <f>MonthlyWorksheet!S68</f>
        <v>30.58848293807927</v>
      </c>
      <c r="G69" s="268">
        <f t="shared" ca="1" si="0"/>
        <v>50.745913442411442</v>
      </c>
      <c r="H69" s="259">
        <f t="shared" ca="1" si="1"/>
        <v>30.58848293807927</v>
      </c>
    </row>
    <row r="70" spans="1:8" ht="15" thickBot="1" x14ac:dyDescent="0.35">
      <c r="A70" s="59">
        <v>42583</v>
      </c>
      <c r="B70" s="192">
        <f t="shared" si="2"/>
        <v>10.907091400010314</v>
      </c>
      <c r="C70" s="192">
        <f t="shared" si="3"/>
        <v>5.8633753864942424</v>
      </c>
      <c r="D70" s="267">
        <f>MonthlyWorksheet!G69</f>
        <v>5.4439200597996864</v>
      </c>
      <c r="E70" s="258">
        <f>MonthlyWorksheet!O69</f>
        <v>59.377333666584796</v>
      </c>
      <c r="F70" s="258">
        <f>MonthlyWorksheet!S69</f>
        <v>31.919746884671746</v>
      </c>
      <c r="G70" s="268">
        <f t="shared" ca="1" si="0"/>
        <v>59.377333666584796</v>
      </c>
      <c r="H70" s="259">
        <f t="shared" ca="1" si="1"/>
        <v>31.919746884671746</v>
      </c>
    </row>
    <row r="71" spans="1:8" ht="15" thickBot="1" x14ac:dyDescent="0.35">
      <c r="A71" s="59">
        <v>42614</v>
      </c>
      <c r="B71" s="192">
        <f t="shared" si="2"/>
        <v>8.3193558002295678</v>
      </c>
      <c r="C71" s="192">
        <f t="shared" si="3"/>
        <v>5.1271290953191491</v>
      </c>
      <c r="D71" s="267">
        <f>MonthlyWorksheet!G70</f>
        <v>5.495120897794858</v>
      </c>
      <c r="E71" s="258">
        <f>MonthlyWorksheet!O70</f>
        <v>45.715865914032364</v>
      </c>
      <c r="F71" s="258">
        <f>MonthlyWorksheet!S70</f>
        <v>28.174194237380302</v>
      </c>
      <c r="G71" s="268">
        <f t="shared" ca="1" si="0"/>
        <v>45.715865914032364</v>
      </c>
      <c r="H71" s="259">
        <f t="shared" ca="1" si="1"/>
        <v>28.174194237380302</v>
      </c>
    </row>
    <row r="72" spans="1:8" ht="15" thickBot="1" x14ac:dyDescent="0.35">
      <c r="A72" s="59">
        <v>42644</v>
      </c>
      <c r="B72" s="192">
        <f t="shared" si="2"/>
        <v>9.0650503761597143</v>
      </c>
      <c r="C72" s="192">
        <f t="shared" si="3"/>
        <v>5.3718609197999285</v>
      </c>
      <c r="D72" s="267">
        <f>MonthlyWorksheet!G71</f>
        <v>5.3946928658005753</v>
      </c>
      <c r="E72" s="258">
        <f>MonthlyWorksheet!O71</f>
        <v>48.903162592391631</v>
      </c>
      <c r="F72" s="258">
        <f>MonthlyWorksheet!S71</f>
        <v>28.979539780117591</v>
      </c>
      <c r="G72" s="268">
        <f t="shared" ca="1" si="0"/>
        <v>48.903162592391631</v>
      </c>
      <c r="H72" s="259">
        <f t="shared" ca="1" si="1"/>
        <v>28.979539780117591</v>
      </c>
    </row>
    <row r="73" spans="1:8" ht="15" thickBot="1" x14ac:dyDescent="0.35">
      <c r="A73" s="59">
        <v>42675</v>
      </c>
      <c r="B73" s="192">
        <f t="shared" si="2"/>
        <v>8.1475671112600043</v>
      </c>
      <c r="C73" s="192">
        <f t="shared" si="3"/>
        <v>4.8470337681523326</v>
      </c>
      <c r="D73" s="267">
        <f>MonthlyWorksheet!G72</f>
        <v>5.6542472969855035</v>
      </c>
      <c r="E73" s="258">
        <f>MonthlyWorksheet!O72</f>
        <v>46.068359315849868</v>
      </c>
      <c r="F73" s="258">
        <f>MonthlyWorksheet!S72</f>
        <v>27.406327581972786</v>
      </c>
      <c r="G73" s="268">
        <f t="shared" ca="1" si="0"/>
        <v>46.068359315849868</v>
      </c>
      <c r="H73" s="259">
        <f t="shared" ca="1" si="1"/>
        <v>27.406327581972786</v>
      </c>
    </row>
    <row r="74" spans="1:8" ht="15" thickBot="1" x14ac:dyDescent="0.35">
      <c r="A74" s="59">
        <v>42705</v>
      </c>
      <c r="B74" s="192">
        <f t="shared" si="2"/>
        <v>7.0535432395959976</v>
      </c>
      <c r="C74" s="192">
        <f t="shared" si="3"/>
        <v>5.2698969899925139</v>
      </c>
      <c r="D74" s="267">
        <f>MonthlyWorksheet!G73</f>
        <v>5.8570972691052567</v>
      </c>
      <c r="E74" s="258">
        <f>MonthlyWorksheet!O73</f>
        <v>41.313288846153561</v>
      </c>
      <c r="F74" s="258">
        <f>MonthlyWorksheet!S73</f>
        <v>30.866299268551167</v>
      </c>
      <c r="G74" s="268">
        <f t="shared" ca="1" si="0"/>
        <v>41.313288846153561</v>
      </c>
      <c r="H74" s="259">
        <f t="shared" ca="1" si="1"/>
        <v>30.866299268551167</v>
      </c>
    </row>
    <row r="75" spans="1:8" ht="15" thickBot="1" x14ac:dyDescent="0.35">
      <c r="A75" s="59">
        <v>42736</v>
      </c>
      <c r="B75" s="192">
        <f t="shared" si="2"/>
        <v>9.343723891809379</v>
      </c>
      <c r="C75" s="192">
        <f t="shared" si="3"/>
        <v>6.8205023419522393</v>
      </c>
      <c r="D75" s="267">
        <f>MonthlyWorksheet!G74</f>
        <v>6.3317505879817562</v>
      </c>
      <c r="E75" s="258">
        <f>MonthlyWorksheet!O74</f>
        <v>59.162129245903216</v>
      </c>
      <c r="F75" s="258">
        <f>MonthlyWorksheet!S74</f>
        <v>43.185719713987034</v>
      </c>
      <c r="G75" s="268">
        <f t="shared" ca="1" si="0"/>
        <v>59.162129245903216</v>
      </c>
      <c r="H75" s="259">
        <f t="shared" ca="1" si="1"/>
        <v>43.185719713987034</v>
      </c>
    </row>
    <row r="76" spans="1:8" ht="15" thickBot="1" x14ac:dyDescent="0.35">
      <c r="A76" s="59">
        <v>42767</v>
      </c>
      <c r="B76" s="192">
        <f t="shared" si="2"/>
        <v>8.8969906413947957</v>
      </c>
      <c r="C76" s="192">
        <f t="shared" si="3"/>
        <v>5.7252676665604962</v>
      </c>
      <c r="D76" s="267">
        <f>MonthlyWorksheet!G75</f>
        <v>6.291378375239213</v>
      </c>
      <c r="E76" s="258">
        <f>MonthlyWorksheet!O75</f>
        <v>55.974334525976872</v>
      </c>
      <c r="F76" s="258">
        <f>MonthlyWorksheet!S75</f>
        <v>36.019825189854977</v>
      </c>
      <c r="G76" s="268">
        <f t="shared" ca="1" si="0"/>
        <v>55.974334525976872</v>
      </c>
      <c r="H76" s="259">
        <f t="shared" ca="1" si="1"/>
        <v>36.019825189854977</v>
      </c>
    </row>
    <row r="77" spans="1:8" ht="15" thickBot="1" x14ac:dyDescent="0.35">
      <c r="A77" s="59">
        <v>42795</v>
      </c>
      <c r="B77" s="192">
        <f t="shared" si="2"/>
        <v>8.1937464522200365</v>
      </c>
      <c r="C77" s="192">
        <f t="shared" si="3"/>
        <v>5.0803789265541113</v>
      </c>
      <c r="D77" s="267">
        <f>MonthlyWorksheet!G76</f>
        <v>6.2230561690595341</v>
      </c>
      <c r="E77" s="258">
        <f>MonthlyWorksheet!O76</f>
        <v>50.990144407197569</v>
      </c>
      <c r="F77" s="258">
        <f>MonthlyWorksheet!S76</f>
        <v>31.615483420052616</v>
      </c>
      <c r="G77" s="268">
        <f t="shared" ca="1" si="0"/>
        <v>50.990144407197569</v>
      </c>
      <c r="H77" s="259">
        <f t="shared" ca="1" si="1"/>
        <v>31.615483420052616</v>
      </c>
    </row>
    <row r="78" spans="1:8" ht="15" thickBot="1" x14ac:dyDescent="0.35">
      <c r="A78" s="59">
        <v>42826</v>
      </c>
      <c r="B78" s="192">
        <f t="shared" si="2"/>
        <v>8.2746789981176718</v>
      </c>
      <c r="C78" s="192">
        <f t="shared" si="3"/>
        <v>4.7223007131365344</v>
      </c>
      <c r="D78" s="267">
        <f>MonthlyWorksheet!G77</f>
        <v>5.9715062281252447</v>
      </c>
      <c r="E78" s="258">
        <f>MonthlyWorksheet!O77</f>
        <v>49.412297172996837</v>
      </c>
      <c r="F78" s="258">
        <f>MonthlyWorksheet!S77</f>
        <v>28.199248119575099</v>
      </c>
      <c r="G78" s="268">
        <f t="shared" ca="1" si="0"/>
        <v>49.412297172996837</v>
      </c>
      <c r="H78" s="259">
        <f t="shared" ca="1" si="1"/>
        <v>28.199248119575099</v>
      </c>
    </row>
    <row r="79" spans="1:8" ht="15" thickBot="1" x14ac:dyDescent="0.35">
      <c r="A79" s="59">
        <v>42856</v>
      </c>
      <c r="B79" s="192">
        <f t="shared" si="2"/>
        <v>6.8640287136208658</v>
      </c>
      <c r="C79" s="192">
        <f t="shared" si="3"/>
        <v>3.2443735857022364</v>
      </c>
      <c r="D79" s="267">
        <f>MonthlyWorksheet!G78</f>
        <v>5.9187117960773072</v>
      </c>
      <c r="E79" s="258">
        <f>MonthlyWorksheet!O78</f>
        <v>40.626207715921161</v>
      </c>
      <c r="F79" s="258">
        <f>MonthlyWorksheet!S78</f>
        <v>19.202512212577457</v>
      </c>
      <c r="G79" s="268">
        <f t="shared" ca="1" si="0"/>
        <v>40.626207715921161</v>
      </c>
      <c r="H79" s="259">
        <f t="shared" ca="1" si="1"/>
        <v>19.202512212577457</v>
      </c>
    </row>
    <row r="80" spans="1:8" ht="15" thickBot="1" x14ac:dyDescent="0.35">
      <c r="A80" s="59">
        <v>42887</v>
      </c>
      <c r="B80" s="192">
        <f t="shared" si="2"/>
        <v>5.9425283155376993</v>
      </c>
      <c r="C80" s="192">
        <f t="shared" si="3"/>
        <v>4.3847333490985561</v>
      </c>
      <c r="D80" s="267">
        <f>MonthlyWorksheet!G79</f>
        <v>5.9093951315982594</v>
      </c>
      <c r="E80" s="258">
        <f>MonthlyWorksheet!O79</f>
        <v>35.116747897223284</v>
      </c>
      <c r="F80" s="258">
        <f>MonthlyWorksheet!S79</f>
        <v>25.911121906519536</v>
      </c>
      <c r="G80" s="268">
        <f t="shared" ca="1" si="0"/>
        <v>35.116747897223284</v>
      </c>
      <c r="H80" s="259">
        <f t="shared" ca="1" si="1"/>
        <v>25.911121906519536</v>
      </c>
    </row>
    <row r="81" spans="1:8" ht="15" thickBot="1" x14ac:dyDescent="0.35">
      <c r="A81" s="59">
        <v>42917</v>
      </c>
      <c r="B81" s="192">
        <f t="shared" si="2"/>
        <v>9.3459925645842734</v>
      </c>
      <c r="C81" s="192">
        <f t="shared" si="3"/>
        <v>5.6335518410882459</v>
      </c>
      <c r="D81" s="267">
        <f>MonthlyWorksheet!G80</f>
        <v>5.9280284605563569</v>
      </c>
      <c r="E81" s="258">
        <f>MonthlyWorksheet!O80</f>
        <v>55.403309915003668</v>
      </c>
      <c r="F81" s="258">
        <f>MonthlyWorksheet!S80</f>
        <v>33.395855647990786</v>
      </c>
      <c r="G81" s="268">
        <f t="shared" ca="1" si="0"/>
        <v>55.403309915003668</v>
      </c>
      <c r="H81" s="259">
        <f t="shared" ca="1" si="1"/>
        <v>33.395855647990786</v>
      </c>
    </row>
    <row r="82" spans="1:8" ht="15" thickBot="1" x14ac:dyDescent="0.35">
      <c r="A82" s="59">
        <v>42948</v>
      </c>
      <c r="B82" s="192">
        <f t="shared" si="2"/>
        <v>10.907091400010314</v>
      </c>
      <c r="C82" s="192">
        <f t="shared" si="3"/>
        <v>5.8633753864942415</v>
      </c>
      <c r="D82" s="267">
        <f>MonthlyWorksheet!G81</f>
        <v>5.9435562346881019</v>
      </c>
      <c r="E82" s="258">
        <f>MonthlyWorksheet!O81</f>
        <v>64.826911092844284</v>
      </c>
      <c r="F82" s="258">
        <f>MonthlyWorksheet!S81</f>
        <v>34.84930133471461</v>
      </c>
      <c r="G82" s="268">
        <f t="shared" ca="1" si="0"/>
        <v>64.826911092844284</v>
      </c>
      <c r="H82" s="259">
        <f t="shared" ca="1" si="1"/>
        <v>34.84930133471461</v>
      </c>
    </row>
    <row r="83" spans="1:8" ht="15" thickBot="1" x14ac:dyDescent="0.35">
      <c r="A83" s="59">
        <v>42979</v>
      </c>
      <c r="B83" s="192">
        <f t="shared" si="2"/>
        <v>8.3193558002295678</v>
      </c>
      <c r="C83" s="192">
        <f t="shared" si="3"/>
        <v>5.1271290953191491</v>
      </c>
      <c r="D83" s="267">
        <f>MonthlyWorksheet!G82</f>
        <v>5.9994562215623874</v>
      </c>
      <c r="E83" s="258">
        <f>MonthlyWorksheet!O82</f>
        <v>49.911610915078413</v>
      </c>
      <c r="F83" s="258">
        <f>MonthlyWorksheet!S82</f>
        <v>30.759986549666003</v>
      </c>
      <c r="G83" s="268">
        <f t="shared" ca="1" si="0"/>
        <v>49.911610915078413</v>
      </c>
      <c r="H83" s="259">
        <f t="shared" ca="1" si="1"/>
        <v>30.759986549666003</v>
      </c>
    </row>
    <row r="84" spans="1:8" ht="15" thickBot="1" x14ac:dyDescent="0.35">
      <c r="A84" s="59">
        <v>43009</v>
      </c>
      <c r="B84" s="192">
        <f t="shared" si="2"/>
        <v>9.0650503761597143</v>
      </c>
      <c r="C84" s="192">
        <f t="shared" si="3"/>
        <v>5.3718609197999285</v>
      </c>
      <c r="D84" s="267">
        <f>MonthlyWorksheet!G83</f>
        <v>5.8898110303875857</v>
      </c>
      <c r="E84" s="258">
        <f>MonthlyWorksheet!O83</f>
        <v>53.391433696524615</v>
      </c>
      <c r="F84" s="258">
        <f>MonthlyWorksheet!S83</f>
        <v>31.639245699145622</v>
      </c>
      <c r="G84" s="268">
        <f t="shared" ca="1" si="0"/>
        <v>53.391433696524615</v>
      </c>
      <c r="H84" s="259">
        <f t="shared" ca="1" si="1"/>
        <v>31.639245699145622</v>
      </c>
    </row>
    <row r="85" spans="1:8" ht="15" thickBot="1" x14ac:dyDescent="0.35">
      <c r="A85" s="59">
        <v>43040</v>
      </c>
      <c r="B85" s="192">
        <f t="shared" si="2"/>
        <v>8.1475671112600043</v>
      </c>
      <c r="C85" s="192">
        <f t="shared" si="3"/>
        <v>4.8470337681523326</v>
      </c>
      <c r="D85" s="267">
        <f>MonthlyWorksheet!G84</f>
        <v>6.173187042666294</v>
      </c>
      <c r="E85" s="258">
        <f>MonthlyWorksheet!O84</f>
        <v>50.296455720484303</v>
      </c>
      <c r="F85" s="258">
        <f>MonthlyWorksheet!S84</f>
        <v>29.921646052923961</v>
      </c>
      <c r="G85" s="268">
        <f t="shared" ca="1" si="0"/>
        <v>50.296455720484303</v>
      </c>
      <c r="H85" s="259">
        <f t="shared" ca="1" si="1"/>
        <v>29.921646052923961</v>
      </c>
    </row>
    <row r="86" spans="1:8" ht="15" thickBot="1" x14ac:dyDescent="0.35">
      <c r="A86" s="59">
        <v>43070</v>
      </c>
      <c r="B86" s="192">
        <f t="shared" si="2"/>
        <v>7.0535432395959976</v>
      </c>
      <c r="C86" s="192">
        <f t="shared" si="3"/>
        <v>5.2698969899925139</v>
      </c>
      <c r="D86" s="267">
        <f>MonthlyWorksheet!G85</f>
        <v>6.3946543315417719</v>
      </c>
      <c r="E86" s="258">
        <f>MonthlyWorksheet!O85</f>
        <v>45.104970829799726</v>
      </c>
      <c r="F86" s="258">
        <f>MonthlyWorksheet!S85</f>
        <v>33.699169613834577</v>
      </c>
      <c r="G86" s="268">
        <f t="shared" ca="1" si="0"/>
        <v>45.104970829799726</v>
      </c>
      <c r="H86" s="259">
        <f t="shared" ca="1" si="1"/>
        <v>33.699169613834577</v>
      </c>
    </row>
    <row r="87" spans="1:8" ht="15" thickBot="1" x14ac:dyDescent="0.35">
      <c r="A87" s="59">
        <v>43101</v>
      </c>
      <c r="B87" s="192">
        <f t="shared" si="2"/>
        <v>9.343723891809379</v>
      </c>
      <c r="C87" s="192">
        <f t="shared" si="3"/>
        <v>6.8205023419522393</v>
      </c>
      <c r="D87" s="267">
        <f>MonthlyWorksheet!G86</f>
        <v>6.9128707384203887</v>
      </c>
      <c r="E87" s="258">
        <f>MonthlyWorksheet!O86</f>
        <v>64.591955479568526</v>
      </c>
      <c r="F87" s="258">
        <f>MonthlyWorksheet!S86</f>
        <v>47.149251061009366</v>
      </c>
      <c r="G87" s="268">
        <f t="shared" ca="1" si="0"/>
        <v>64.591955479568526</v>
      </c>
      <c r="H87" s="259">
        <f t="shared" ca="1" si="1"/>
        <v>47.149251061009366</v>
      </c>
    </row>
    <row r="88" spans="1:8" ht="15" thickBot="1" x14ac:dyDescent="0.35">
      <c r="A88" s="59">
        <v>43132</v>
      </c>
      <c r="B88" s="192">
        <f t="shared" si="2"/>
        <v>8.8969906413947957</v>
      </c>
      <c r="C88" s="192">
        <f t="shared" si="3"/>
        <v>5.7252676665604962</v>
      </c>
      <c r="D88" s="267">
        <f>MonthlyWorksheet!G87</f>
        <v>6.868793214482074</v>
      </c>
      <c r="E88" s="258">
        <f>MonthlyWorksheet!O87</f>
        <v>61.111588946923085</v>
      </c>
      <c r="F88" s="258">
        <f>MonthlyWorksheet!S87</f>
        <v>39.325679699164354</v>
      </c>
      <c r="G88" s="268">
        <f t="shared" ca="1" si="0"/>
        <v>61.111588946923085</v>
      </c>
      <c r="H88" s="259">
        <f t="shared" ca="1" si="1"/>
        <v>39.325679699164354</v>
      </c>
    </row>
    <row r="89" spans="1:8" ht="15" thickBot="1" x14ac:dyDescent="0.35">
      <c r="A89" s="59">
        <v>43160</v>
      </c>
      <c r="B89" s="192">
        <f t="shared" si="2"/>
        <v>8.1937464522200365</v>
      </c>
      <c r="C89" s="192">
        <f t="shared" si="3"/>
        <v>5.0803789265541113</v>
      </c>
      <c r="D89" s="267">
        <f>MonthlyWorksheet!G88</f>
        <v>6.7942004816633954</v>
      </c>
      <c r="E89" s="258">
        <f>MonthlyWorksheet!O88</f>
        <v>55.669956092301106</v>
      </c>
      <c r="F89" s="258">
        <f>MonthlyWorksheet!S88</f>
        <v>34.517112949826505</v>
      </c>
      <c r="G89" s="268">
        <f t="shared" ca="1" si="0"/>
        <v>55.669956092301106</v>
      </c>
      <c r="H89" s="259">
        <f t="shared" ca="1" si="1"/>
        <v>34.517112949826505</v>
      </c>
    </row>
    <row r="90" spans="1:8" ht="15" thickBot="1" x14ac:dyDescent="0.35">
      <c r="A90" s="59">
        <v>43191</v>
      </c>
      <c r="B90" s="192">
        <f t="shared" si="2"/>
        <v>8.2746789981176718</v>
      </c>
      <c r="C90" s="192">
        <f t="shared" si="3"/>
        <v>4.7223007131365344</v>
      </c>
      <c r="D90" s="267">
        <f>MonthlyWorksheet!G89</f>
        <v>6.5195636017400647</v>
      </c>
      <c r="E90" s="258">
        <f>MonthlyWorksheet!O89</f>
        <v>53.94729601221092</v>
      </c>
      <c r="F90" s="258">
        <f>MonthlyWorksheet!S89</f>
        <v>30.787339845836101</v>
      </c>
      <c r="G90" s="268">
        <f t="shared" ca="1" si="0"/>
        <v>53.94729601221092</v>
      </c>
      <c r="H90" s="259">
        <f t="shared" ca="1" si="1"/>
        <v>30.787339845836101</v>
      </c>
    </row>
    <row r="91" spans="1:8" ht="15" thickBot="1" x14ac:dyDescent="0.35">
      <c r="A91" s="59">
        <v>43221</v>
      </c>
      <c r="B91" s="192">
        <f t="shared" si="2"/>
        <v>6.8640287136208658</v>
      </c>
      <c r="C91" s="192">
        <f t="shared" si="3"/>
        <v>3.2443735857022364</v>
      </c>
      <c r="D91" s="267">
        <f>MonthlyWorksheet!G90</f>
        <v>6.46192376274381</v>
      </c>
      <c r="E91" s="258">
        <f>MonthlyWorksheet!O90</f>
        <v>44.354830252702499</v>
      </c>
      <c r="F91" s="258">
        <f>MonthlyWorksheet!S90</f>
        <v>20.964894768667623</v>
      </c>
      <c r="G91" s="268">
        <f t="shared" ref="G91:G154" ca="1" si="4">IF(E91/D91&lt;6.5,E91+$I$4*VLOOKUP(YEAR(A91),CarbonPrice,4),E91+(E91/D91*($I$3/7))*VLOOKUP(YEAR(A91),CarbonPrice,4))</f>
        <v>44.354830252702499</v>
      </c>
      <c r="H91" s="259">
        <f t="shared" ref="H91:H154" ca="1" si="5">IF(F91/$D91&lt;6.5,F91+$I$4*VLOOKUP(YEAR($A91),CarbonPrice,4),F91+(F91/$D91*($I$3/7))*VLOOKUP(YEAR($A91),CarbonPrice,4))</f>
        <v>20.964894768667623</v>
      </c>
    </row>
    <row r="92" spans="1:8" ht="15" thickBot="1" x14ac:dyDescent="0.35">
      <c r="A92" s="59">
        <v>43252</v>
      </c>
      <c r="B92" s="192">
        <f t="shared" ref="B92:B155" si="6">E92/D92</f>
        <v>5.9425283155376984</v>
      </c>
      <c r="C92" s="192">
        <f t="shared" ref="C92:C155" si="7">F92/D92</f>
        <v>4.3847333490985561</v>
      </c>
      <c r="D92" s="267">
        <f>MonthlyWorksheet!G91</f>
        <v>6.4517520264503538</v>
      </c>
      <c r="E92" s="258">
        <f>MonthlyWorksheet!O91</f>
        <v>38.339719102008956</v>
      </c>
      <c r="F92" s="258">
        <f>MonthlyWorksheet!S91</f>
        <v>28.289212270491056</v>
      </c>
      <c r="G92" s="268">
        <f t="shared" ca="1" si="4"/>
        <v>38.339719102008956</v>
      </c>
      <c r="H92" s="259">
        <f t="shared" ca="1" si="5"/>
        <v>28.289212270491056</v>
      </c>
    </row>
    <row r="93" spans="1:8" ht="15" thickBot="1" x14ac:dyDescent="0.35">
      <c r="A93" s="59">
        <v>43282</v>
      </c>
      <c r="B93" s="192">
        <f t="shared" si="6"/>
        <v>9.3459925645842734</v>
      </c>
      <c r="C93" s="192">
        <f t="shared" si="7"/>
        <v>5.6335518410882459</v>
      </c>
      <c r="D93" s="267">
        <f>MonthlyWorksheet!G92</f>
        <v>6.4720954990372688</v>
      </c>
      <c r="E93" s="258">
        <f>MonthlyWorksheet!O92</f>
        <v>60.488156411281658</v>
      </c>
      <c r="F93" s="258">
        <f>MonthlyWorksheet!S92</f>
        <v>36.460885514300358</v>
      </c>
      <c r="G93" s="268">
        <f t="shared" ca="1" si="4"/>
        <v>60.488156411281658</v>
      </c>
      <c r="H93" s="259">
        <f t="shared" ca="1" si="5"/>
        <v>36.460885514300358</v>
      </c>
    </row>
    <row r="94" spans="1:8" ht="15" thickBot="1" x14ac:dyDescent="0.35">
      <c r="A94" s="59">
        <v>43313</v>
      </c>
      <c r="B94" s="192">
        <f t="shared" si="6"/>
        <v>10.907091400010312</v>
      </c>
      <c r="C94" s="192">
        <f t="shared" si="7"/>
        <v>5.8633753864942424</v>
      </c>
      <c r="D94" s="267">
        <f>MonthlyWorksheet!G93</f>
        <v>6.4890483928596954</v>
      </c>
      <c r="E94" s="258">
        <f>MonthlyWorksheet!O93</f>
        <v>70.776643920010727</v>
      </c>
      <c r="F94" s="258">
        <f>MonthlyWorksheet!S93</f>
        <v>38.047726628463558</v>
      </c>
      <c r="G94" s="268">
        <f t="shared" ca="1" si="4"/>
        <v>70.776643920010727</v>
      </c>
      <c r="H94" s="259">
        <f t="shared" ca="1" si="5"/>
        <v>38.047726628463558</v>
      </c>
    </row>
    <row r="95" spans="1:8" ht="15" thickBot="1" x14ac:dyDescent="0.35">
      <c r="A95" s="59">
        <v>43344</v>
      </c>
      <c r="B95" s="192">
        <f t="shared" si="6"/>
        <v>8.3193558002295678</v>
      </c>
      <c r="C95" s="192">
        <f t="shared" si="7"/>
        <v>5.1271290953191491</v>
      </c>
      <c r="D95" s="267">
        <f>MonthlyWorksheet!G94</f>
        <v>6.5500788106204348</v>
      </c>
      <c r="E95" s="258">
        <f>MonthlyWorksheet!O94</f>
        <v>54.492436145095901</v>
      </c>
      <c r="F95" s="258">
        <f>MonthlyWorksheet!S94</f>
        <v>33.583099646565479</v>
      </c>
      <c r="G95" s="268">
        <f t="shared" ca="1" si="4"/>
        <v>54.492436145095901</v>
      </c>
      <c r="H95" s="259">
        <f t="shared" ca="1" si="5"/>
        <v>33.583099646565479</v>
      </c>
    </row>
    <row r="96" spans="1:8" ht="15" thickBot="1" x14ac:dyDescent="0.35">
      <c r="A96" s="59">
        <v>43374</v>
      </c>
      <c r="B96" s="192">
        <f t="shared" si="6"/>
        <v>9.0650503761597143</v>
      </c>
      <c r="C96" s="192">
        <f t="shared" si="7"/>
        <v>5.3718609197999285</v>
      </c>
      <c r="D96" s="267">
        <f>MonthlyWorksheet!G95</f>
        <v>6.4303705209225619</v>
      </c>
      <c r="E96" s="258">
        <f>MonthlyWorksheet!O95</f>
        <v>58.291632709535406</v>
      </c>
      <c r="F96" s="258">
        <f>MonthlyWorksheet!S95</f>
        <v>34.54305610117742</v>
      </c>
      <c r="G96" s="268">
        <f t="shared" ca="1" si="4"/>
        <v>58.291632709535406</v>
      </c>
      <c r="H96" s="259">
        <f t="shared" ca="1" si="5"/>
        <v>34.54305610117742</v>
      </c>
    </row>
    <row r="97" spans="1:8" ht="15" thickBot="1" x14ac:dyDescent="0.35">
      <c r="A97" s="59">
        <v>43405</v>
      </c>
      <c r="B97" s="192">
        <f t="shared" si="6"/>
        <v>8.1475671112600043</v>
      </c>
      <c r="C97" s="192">
        <f t="shared" si="7"/>
        <v>4.8470337681523326</v>
      </c>
      <c r="D97" s="267">
        <f>MonthlyWorksheet!G96</f>
        <v>6.7397544292164211</v>
      </c>
      <c r="E97" s="258">
        <f>MonthlyWorksheet!O96</f>
        <v>54.912601525452658</v>
      </c>
      <c r="F97" s="258">
        <f>MonthlyWorksheet!S96</f>
        <v>32.667817307466244</v>
      </c>
      <c r="G97" s="268">
        <f t="shared" ca="1" si="4"/>
        <v>54.912601525452658</v>
      </c>
      <c r="H97" s="259">
        <f t="shared" ca="1" si="5"/>
        <v>32.667817307466244</v>
      </c>
    </row>
    <row r="98" spans="1:8" ht="15" thickBot="1" x14ac:dyDescent="0.35">
      <c r="A98" s="59">
        <v>43435</v>
      </c>
      <c r="B98" s="192">
        <f t="shared" si="6"/>
        <v>7.0535432395959967</v>
      </c>
      <c r="C98" s="192">
        <f t="shared" si="7"/>
        <v>5.2698969899925139</v>
      </c>
      <c r="D98" s="267">
        <f>MonthlyWorksheet!G97</f>
        <v>6.9815477088965334</v>
      </c>
      <c r="E98" s="258">
        <f>MonthlyWorksheet!O97</f>
        <v>49.244648644004066</v>
      </c>
      <c r="F98" s="258">
        <f>MonthlyWorksheet!S97</f>
        <v>36.792037256602974</v>
      </c>
      <c r="G98" s="268">
        <f t="shared" ca="1" si="4"/>
        <v>49.244648644004066</v>
      </c>
      <c r="H98" s="259">
        <f t="shared" ca="1" si="5"/>
        <v>36.792037256602974</v>
      </c>
    </row>
    <row r="99" spans="1:8" ht="15" thickBot="1" x14ac:dyDescent="0.35">
      <c r="A99" s="59">
        <v>43466</v>
      </c>
      <c r="B99" s="192">
        <f t="shared" si="6"/>
        <v>9.343723891809379</v>
      </c>
      <c r="C99" s="192">
        <f t="shared" si="7"/>
        <v>6.8205023419522393</v>
      </c>
      <c r="D99" s="267">
        <f>MonthlyWorksheet!G98</f>
        <v>7.547325369513838</v>
      </c>
      <c r="E99" s="258">
        <f>MonthlyWorksheet!O98</f>
        <v>70.520124374385503</v>
      </c>
      <c r="F99" s="258">
        <f>MonthlyWorksheet!S98</f>
        <v>51.47655035824468</v>
      </c>
      <c r="G99" s="268">
        <f t="shared" ca="1" si="4"/>
        <v>70.520124374385503</v>
      </c>
      <c r="H99" s="259">
        <f t="shared" ca="1" si="5"/>
        <v>51.47655035824468</v>
      </c>
    </row>
    <row r="100" spans="1:8" ht="15" thickBot="1" x14ac:dyDescent="0.35">
      <c r="A100" s="59">
        <v>43497</v>
      </c>
      <c r="B100" s="192">
        <f t="shared" si="6"/>
        <v>8.8969906413947957</v>
      </c>
      <c r="C100" s="192">
        <f t="shared" si="7"/>
        <v>5.7252676665604962</v>
      </c>
      <c r="D100" s="267">
        <f>MonthlyWorksheet!G99</f>
        <v>7.4992024655520879</v>
      </c>
      <c r="E100" s="258">
        <f>MonthlyWorksheet!O99</f>
        <v>66.720334153941707</v>
      </c>
      <c r="F100" s="258">
        <f>MonthlyWorksheet!S99</f>
        <v>42.934941401016125</v>
      </c>
      <c r="G100" s="268">
        <f t="shared" ca="1" si="4"/>
        <v>66.720334153941707</v>
      </c>
      <c r="H100" s="259">
        <f t="shared" ca="1" si="5"/>
        <v>42.934941401016125</v>
      </c>
    </row>
    <row r="101" spans="1:8" ht="15" thickBot="1" x14ac:dyDescent="0.35">
      <c r="A101" s="59">
        <v>43525</v>
      </c>
      <c r="B101" s="192">
        <f t="shared" si="6"/>
        <v>8.1937464522200365</v>
      </c>
      <c r="C101" s="192">
        <f t="shared" si="7"/>
        <v>5.0803789265541113</v>
      </c>
      <c r="D101" s="267">
        <f>MonthlyWorksheet!G100</f>
        <v>7.4177637050014429</v>
      </c>
      <c r="E101" s="258">
        <f>MonthlyWorksheet!O100</f>
        <v>60.779275041262125</v>
      </c>
      <c r="F101" s="258">
        <f>MonthlyWorksheet!S100</f>
        <v>37.685050409047278</v>
      </c>
      <c r="G101" s="268">
        <f t="shared" ca="1" si="4"/>
        <v>60.779275041262125</v>
      </c>
      <c r="H101" s="259">
        <f t="shared" ca="1" si="5"/>
        <v>37.685050409047278</v>
      </c>
    </row>
    <row r="102" spans="1:8" ht="15" thickBot="1" x14ac:dyDescent="0.35">
      <c r="A102" s="59">
        <v>43556</v>
      </c>
      <c r="B102" s="192">
        <f t="shared" si="6"/>
        <v>8.2746789981176718</v>
      </c>
      <c r="C102" s="192">
        <f t="shared" si="7"/>
        <v>4.7223007131365344</v>
      </c>
      <c r="D102" s="267">
        <f>MonthlyWorksheet!G101</f>
        <v>7.1179209957013239</v>
      </c>
      <c r="E102" s="258">
        <f>MonthlyWorksheet!O101</f>
        <v>58.898511373390569</v>
      </c>
      <c r="F102" s="258">
        <f>MonthlyWorksheet!S101</f>
        <v>33.612963394049871</v>
      </c>
      <c r="G102" s="268">
        <f t="shared" ca="1" si="4"/>
        <v>58.898511373390569</v>
      </c>
      <c r="H102" s="259">
        <f t="shared" ca="1" si="5"/>
        <v>33.612963394049871</v>
      </c>
    </row>
    <row r="103" spans="1:8" ht="15" thickBot="1" x14ac:dyDescent="0.35">
      <c r="A103" s="59">
        <v>43586</v>
      </c>
      <c r="B103" s="192">
        <f t="shared" si="6"/>
        <v>6.8640287136208658</v>
      </c>
      <c r="C103" s="192">
        <f t="shared" si="7"/>
        <v>3.2443735857022364</v>
      </c>
      <c r="D103" s="267">
        <f>MonthlyWorksheet!G102</f>
        <v>7.054991044366731</v>
      </c>
      <c r="E103" s="258">
        <f>MonthlyWorksheet!O102</f>
        <v>48.425661102871302</v>
      </c>
      <c r="F103" s="258">
        <f>MonthlyWorksheet!S102</f>
        <v>22.889026591709257</v>
      </c>
      <c r="G103" s="268">
        <f t="shared" ca="1" si="4"/>
        <v>48.425661102871302</v>
      </c>
      <c r="H103" s="259">
        <f t="shared" ca="1" si="5"/>
        <v>22.889026591709257</v>
      </c>
    </row>
    <row r="104" spans="1:8" ht="15" thickBot="1" x14ac:dyDescent="0.35">
      <c r="A104" s="59">
        <v>43617</v>
      </c>
      <c r="B104" s="192">
        <f t="shared" si="6"/>
        <v>5.9425283155376993</v>
      </c>
      <c r="C104" s="192">
        <f t="shared" si="7"/>
        <v>4.3847333490985561</v>
      </c>
      <c r="D104" s="267">
        <f>MonthlyWorksheet!G103</f>
        <v>7.0438857588370976</v>
      </c>
      <c r="E104" s="258">
        <f>MonthlyWorksheet!O103</f>
        <v>41.858490573302205</v>
      </c>
      <c r="F104" s="258">
        <f>MonthlyWorksheet!S103</f>
        <v>30.885560794013411</v>
      </c>
      <c r="G104" s="268">
        <f t="shared" ca="1" si="4"/>
        <v>41.858490573302205</v>
      </c>
      <c r="H104" s="259">
        <f t="shared" ca="1" si="5"/>
        <v>30.885560794013411</v>
      </c>
    </row>
    <row r="105" spans="1:8" ht="15" thickBot="1" x14ac:dyDescent="0.35">
      <c r="A105" s="59">
        <v>43647</v>
      </c>
      <c r="B105" s="192">
        <f t="shared" si="6"/>
        <v>9.3459925645842734</v>
      </c>
      <c r="C105" s="192">
        <f t="shared" si="7"/>
        <v>5.6335518410882459</v>
      </c>
      <c r="D105" s="267">
        <f>MonthlyWorksheet!G104</f>
        <v>7.0660963298963679</v>
      </c>
      <c r="E105" s="258">
        <f>MonthlyWorksheet!O104</f>
        <v>66.039683759847676</v>
      </c>
      <c r="F105" s="258">
        <f>MonthlyWorksheet!S104</f>
        <v>39.807219988594582</v>
      </c>
      <c r="G105" s="268">
        <f t="shared" ca="1" si="4"/>
        <v>66.039683759847676</v>
      </c>
      <c r="H105" s="259">
        <f t="shared" ca="1" si="5"/>
        <v>39.807219988594582</v>
      </c>
    </row>
    <row r="106" spans="1:8" ht="15" thickBot="1" x14ac:dyDescent="0.35">
      <c r="A106" s="59">
        <v>43678</v>
      </c>
      <c r="B106" s="192">
        <f t="shared" si="6"/>
        <v>10.907091400010314</v>
      </c>
      <c r="C106" s="192">
        <f t="shared" si="7"/>
        <v>5.8633753864942424</v>
      </c>
      <c r="D106" s="267">
        <f>MonthlyWorksheet!G105</f>
        <v>7.0846051391124227</v>
      </c>
      <c r="E106" s="258">
        <f>MonthlyWorksheet!O105</f>
        <v>77.272435785281985</v>
      </c>
      <c r="F106" s="258">
        <f>MonthlyWorksheet!S105</f>
        <v>41.539699395702399</v>
      </c>
      <c r="G106" s="268">
        <f t="shared" ca="1" si="4"/>
        <v>77.272435785281985</v>
      </c>
      <c r="H106" s="259">
        <f t="shared" ca="1" si="5"/>
        <v>41.539699395702399</v>
      </c>
    </row>
    <row r="107" spans="1:8" ht="15" thickBot="1" x14ac:dyDescent="0.35">
      <c r="A107" s="59">
        <v>43709</v>
      </c>
      <c r="B107" s="192">
        <f t="shared" si="6"/>
        <v>8.3193558002295678</v>
      </c>
      <c r="C107" s="192">
        <f t="shared" si="7"/>
        <v>5.1271290953191491</v>
      </c>
      <c r="D107" s="267">
        <f>MonthlyWorksheet!G106</f>
        <v>7.1512368522902259</v>
      </c>
      <c r="E107" s="258">
        <f>MonthlyWorksheet!O106</f>
        <v>59.493683785916126</v>
      </c>
      <c r="F107" s="258">
        <f>MonthlyWorksheet!S106</f>
        <v>36.665314532895742</v>
      </c>
      <c r="G107" s="268">
        <f t="shared" ca="1" si="4"/>
        <v>59.493683785916126</v>
      </c>
      <c r="H107" s="259">
        <f t="shared" ca="1" si="5"/>
        <v>36.665314532895742</v>
      </c>
    </row>
    <row r="108" spans="1:8" ht="15" thickBot="1" x14ac:dyDescent="0.35">
      <c r="A108" s="59">
        <v>43739</v>
      </c>
      <c r="B108" s="192">
        <f t="shared" si="6"/>
        <v>9.0650503761597143</v>
      </c>
      <c r="C108" s="192">
        <f t="shared" si="7"/>
        <v>5.3718609197999285</v>
      </c>
      <c r="D108" s="267">
        <f>MonthlyWorksheet!G107</f>
        <v>7.0205418854718076</v>
      </c>
      <c r="E108" s="258">
        <f>MonthlyWorksheet!O107</f>
        <v>63.641565859741242</v>
      </c>
      <c r="F108" s="258">
        <f>MonthlyWorksheet!S107</f>
        <v>37.713374590384511</v>
      </c>
      <c r="G108" s="268">
        <f t="shared" ca="1" si="4"/>
        <v>63.641565859741242</v>
      </c>
      <c r="H108" s="259">
        <f t="shared" ca="1" si="5"/>
        <v>37.713374590384511</v>
      </c>
    </row>
    <row r="109" spans="1:8" ht="15" thickBot="1" x14ac:dyDescent="0.35">
      <c r="A109" s="59">
        <v>43770</v>
      </c>
      <c r="B109" s="192">
        <f t="shared" si="6"/>
        <v>8.1475671112600043</v>
      </c>
      <c r="C109" s="192">
        <f t="shared" si="7"/>
        <v>4.8470337681523326</v>
      </c>
      <c r="D109" s="267">
        <f>MonthlyWorksheet!G108</f>
        <v>7.3583206619514536</v>
      </c>
      <c r="E109" s="258">
        <f>MonthlyWorksheet!O108</f>
        <v>59.952411419420606</v>
      </c>
      <c r="F109" s="258">
        <f>MonthlyWorksheet!S108</f>
        <v>35.666028725371717</v>
      </c>
      <c r="G109" s="268">
        <f t="shared" ca="1" si="4"/>
        <v>59.952411419420606</v>
      </c>
      <c r="H109" s="259">
        <f t="shared" ca="1" si="5"/>
        <v>35.666028725371717</v>
      </c>
    </row>
    <row r="110" spans="1:8" ht="15" thickBot="1" x14ac:dyDescent="0.35">
      <c r="A110" s="59">
        <v>43800</v>
      </c>
      <c r="B110" s="192">
        <f t="shared" si="6"/>
        <v>7.0535432395959967</v>
      </c>
      <c r="C110" s="192">
        <f t="shared" si="7"/>
        <v>5.2698969899925139</v>
      </c>
      <c r="D110" s="267">
        <f>MonthlyWorksheet!G109</f>
        <v>7.6223054264524404</v>
      </c>
      <c r="E110" s="258">
        <f>MonthlyWorksheet!O109</f>
        <v>53.76426091088949</v>
      </c>
      <c r="F110" s="258">
        <f>MonthlyWorksheet!S109</f>
        <v>40.168764423665323</v>
      </c>
      <c r="G110" s="268">
        <f t="shared" ca="1" si="4"/>
        <v>53.76426091088949</v>
      </c>
      <c r="H110" s="259">
        <f t="shared" ca="1" si="5"/>
        <v>40.168764423665323</v>
      </c>
    </row>
    <row r="111" spans="1:8" ht="15" thickBot="1" x14ac:dyDescent="0.35">
      <c r="A111" s="59">
        <v>43831</v>
      </c>
      <c r="B111" s="192">
        <f t="shared" si="6"/>
        <v>9.343723891809379</v>
      </c>
      <c r="C111" s="192">
        <f t="shared" si="7"/>
        <v>6.8205023419522393</v>
      </c>
      <c r="D111" s="267">
        <f>MonthlyWorksheet!G110</f>
        <v>8.2400094531961656</v>
      </c>
      <c r="E111" s="258">
        <f>MonthlyWorksheet!O110</f>
        <v>76.992373196564145</v>
      </c>
      <c r="F111" s="258">
        <f>MonthlyWorksheet!S110</f>
        <v>56.20100377323304</v>
      </c>
      <c r="G111" s="268">
        <f t="shared" ca="1" si="4"/>
        <v>76.992373196564145</v>
      </c>
      <c r="H111" s="259">
        <f t="shared" ca="1" si="5"/>
        <v>56.20100377323304</v>
      </c>
    </row>
    <row r="112" spans="1:8" ht="15" thickBot="1" x14ac:dyDescent="0.35">
      <c r="A112" s="59">
        <v>43862</v>
      </c>
      <c r="B112" s="192">
        <f t="shared" si="6"/>
        <v>8.8969906413947957</v>
      </c>
      <c r="C112" s="192">
        <f t="shared" si="7"/>
        <v>5.7252676665604962</v>
      </c>
      <c r="D112" s="267">
        <f>MonthlyWorksheet!G111</f>
        <v>8.1874698892916076</v>
      </c>
      <c r="E112" s="258">
        <f>MonthlyWorksheet!O111</f>
        <v>72.843842981729111</v>
      </c>
      <c r="F112" s="258">
        <f>MonthlyWorksheet!S111</f>
        <v>46.875456628098888</v>
      </c>
      <c r="G112" s="268">
        <f t="shared" ca="1" si="4"/>
        <v>72.843842981729111</v>
      </c>
      <c r="H112" s="259">
        <f t="shared" ca="1" si="5"/>
        <v>46.875456628098888</v>
      </c>
    </row>
    <row r="113" spans="1:8" ht="15" thickBot="1" x14ac:dyDescent="0.35">
      <c r="A113" s="59">
        <v>43891</v>
      </c>
      <c r="B113" s="192">
        <f t="shared" si="6"/>
        <v>8.1937464522200365</v>
      </c>
      <c r="C113" s="192">
        <f t="shared" si="7"/>
        <v>5.0803789265541113</v>
      </c>
      <c r="D113" s="267">
        <f>MonthlyWorksheet!G112</f>
        <v>8.0985567811454402</v>
      </c>
      <c r="E113" s="258">
        <f>MonthlyWorksheet!O112</f>
        <v>66.357520893612971</v>
      </c>
      <c r="F113" s="258">
        <f>MonthlyWorksheet!S112</f>
        <v>41.143737206433187</v>
      </c>
      <c r="G113" s="268">
        <f t="shared" ca="1" si="4"/>
        <v>66.357520893612971</v>
      </c>
      <c r="H113" s="259">
        <f t="shared" ca="1" si="5"/>
        <v>41.143737206433187</v>
      </c>
    </row>
    <row r="114" spans="1:8" ht="15" thickBot="1" x14ac:dyDescent="0.35">
      <c r="A114" s="59">
        <v>43922</v>
      </c>
      <c r="B114" s="192">
        <f t="shared" si="6"/>
        <v>8.2746789981176718</v>
      </c>
      <c r="C114" s="192">
        <f t="shared" si="7"/>
        <v>4.7223007131365344</v>
      </c>
      <c r="D114" s="267">
        <f>MonthlyWorksheet!G113</f>
        <v>7.7711948829708977</v>
      </c>
      <c r="E114" s="258">
        <f>MonthlyWorksheet!O113</f>
        <v>64.304143088398803</v>
      </c>
      <c r="F114" s="258">
        <f>MonthlyWorksheet!S113</f>
        <v>36.697919137776459</v>
      </c>
      <c r="G114" s="268">
        <f t="shared" ca="1" si="4"/>
        <v>64.304143088398803</v>
      </c>
      <c r="H114" s="259">
        <f t="shared" ca="1" si="5"/>
        <v>36.697919137776459</v>
      </c>
    </row>
    <row r="115" spans="1:8" ht="15" thickBot="1" x14ac:dyDescent="0.35">
      <c r="A115" s="59">
        <v>43952</v>
      </c>
      <c r="B115" s="192">
        <f t="shared" si="6"/>
        <v>6.8640287136208649</v>
      </c>
      <c r="C115" s="192">
        <f t="shared" si="7"/>
        <v>3.2443735857022364</v>
      </c>
      <c r="D115" s="267">
        <f>MonthlyWorksheet!G114</f>
        <v>7.7024892994034015</v>
      </c>
      <c r="E115" s="258">
        <f>MonthlyWorksheet!O114</f>
        <v>52.87010771746241</v>
      </c>
      <c r="F115" s="258">
        <f>MonthlyWorksheet!S114</f>
        <v>24.989752827138521</v>
      </c>
      <c r="G115" s="268">
        <f t="shared" ca="1" si="4"/>
        <v>52.87010771746241</v>
      </c>
      <c r="H115" s="259">
        <f t="shared" ca="1" si="5"/>
        <v>24.989752827138521</v>
      </c>
    </row>
    <row r="116" spans="1:8" ht="15" thickBot="1" x14ac:dyDescent="0.35">
      <c r="A116" s="59">
        <v>43983</v>
      </c>
      <c r="B116" s="192">
        <f t="shared" si="6"/>
        <v>5.9425283155376993</v>
      </c>
      <c r="C116" s="192">
        <f t="shared" si="7"/>
        <v>4.3847333490985561</v>
      </c>
      <c r="D116" s="267">
        <f>MonthlyWorksheet!G115</f>
        <v>7.6903647846561967</v>
      </c>
      <c r="E116" s="258">
        <f>MonthlyWorksheet!O115</f>
        <v>45.700210489633427</v>
      </c>
      <c r="F116" s="258">
        <f>MonthlyWorksheet!S115</f>
        <v>33.720198938015159</v>
      </c>
      <c r="G116" s="268">
        <f t="shared" ca="1" si="4"/>
        <v>45.700210489633427</v>
      </c>
      <c r="H116" s="259">
        <f t="shared" ca="1" si="5"/>
        <v>33.720198938015159</v>
      </c>
    </row>
    <row r="117" spans="1:8" ht="15" thickBot="1" x14ac:dyDescent="0.35">
      <c r="A117" s="59">
        <v>44013</v>
      </c>
      <c r="B117" s="192">
        <f t="shared" si="6"/>
        <v>9.3459925645842734</v>
      </c>
      <c r="C117" s="192">
        <f t="shared" si="7"/>
        <v>5.6335518410882459</v>
      </c>
      <c r="D117" s="267">
        <f>MonthlyWorksheet!G116</f>
        <v>7.7146138141506091</v>
      </c>
      <c r="E117" s="258">
        <f>MonthlyWorksheet!O116</f>
        <v>72.10072334569071</v>
      </c>
      <c r="F117" s="258">
        <f>MonthlyWorksheet!S116</f>
        <v>43.460676855992979</v>
      </c>
      <c r="G117" s="268">
        <f t="shared" ca="1" si="4"/>
        <v>72.10072334569071</v>
      </c>
      <c r="H117" s="259">
        <f t="shared" ca="1" si="5"/>
        <v>43.460676855992979</v>
      </c>
    </row>
    <row r="118" spans="1:8" ht="15" thickBot="1" x14ac:dyDescent="0.35">
      <c r="A118" s="59">
        <v>44044</v>
      </c>
      <c r="B118" s="192">
        <f t="shared" si="6"/>
        <v>10.907091400010314</v>
      </c>
      <c r="C118" s="192">
        <f t="shared" si="7"/>
        <v>5.8633753864942424</v>
      </c>
      <c r="D118" s="267">
        <f>MonthlyWorksheet!G117</f>
        <v>7.734821338729283</v>
      </c>
      <c r="E118" s="258">
        <f>MonthlyWorksheet!O117</f>
        <v>84.364403304270425</v>
      </c>
      <c r="F118" s="258">
        <f>MonthlyWorksheet!S117</f>
        <v>45.352161056435726</v>
      </c>
      <c r="G118" s="268">
        <f t="shared" ca="1" si="4"/>
        <v>84.364403304270425</v>
      </c>
      <c r="H118" s="259">
        <f t="shared" ca="1" si="5"/>
        <v>45.352161056435726</v>
      </c>
    </row>
    <row r="119" spans="1:8" ht="15" thickBot="1" x14ac:dyDescent="0.35">
      <c r="A119" s="59">
        <v>44075</v>
      </c>
      <c r="B119" s="192">
        <f t="shared" si="6"/>
        <v>8.3193558002295678</v>
      </c>
      <c r="C119" s="192">
        <f t="shared" si="7"/>
        <v>5.1271290953191491</v>
      </c>
      <c r="D119" s="267">
        <f>MonthlyWorksheet!G118</f>
        <v>7.8075684272125132</v>
      </c>
      <c r="E119" s="258">
        <f>MonthlyWorksheet!O118</f>
        <v>64.953939680619669</v>
      </c>
      <c r="F119" s="258">
        <f>MonthlyWorksheet!S118</f>
        <v>40.030411246856445</v>
      </c>
      <c r="G119" s="268">
        <f t="shared" ca="1" si="4"/>
        <v>64.953939680619669</v>
      </c>
      <c r="H119" s="259">
        <f t="shared" ca="1" si="5"/>
        <v>40.030411246856445</v>
      </c>
    </row>
    <row r="120" spans="1:8" ht="15" thickBot="1" x14ac:dyDescent="0.35">
      <c r="A120" s="59">
        <v>44105</v>
      </c>
      <c r="B120" s="192">
        <f t="shared" si="6"/>
        <v>9.0650503761597143</v>
      </c>
      <c r="C120" s="192">
        <f t="shared" si="7"/>
        <v>5.3718609197999285</v>
      </c>
      <c r="D120" s="267">
        <f>MonthlyWorksheet!G119</f>
        <v>7.6648784397874321</v>
      </c>
      <c r="E120" s="258">
        <f>MonthlyWorksheet!O119</f>
        <v>69.482509183813548</v>
      </c>
      <c r="F120" s="258">
        <f>MonthlyWorksheet!S119</f>
        <v>41.174660945711153</v>
      </c>
      <c r="G120" s="268">
        <f t="shared" ca="1" si="4"/>
        <v>69.482509183813548</v>
      </c>
      <c r="H120" s="259">
        <f t="shared" ca="1" si="5"/>
        <v>41.174660945711153</v>
      </c>
    </row>
    <row r="121" spans="1:8" ht="15" thickBot="1" x14ac:dyDescent="0.35">
      <c r="A121" s="59">
        <v>44136</v>
      </c>
      <c r="B121" s="192">
        <f t="shared" si="6"/>
        <v>8.1475671112600043</v>
      </c>
      <c r="C121" s="192">
        <f t="shared" si="7"/>
        <v>4.8470337681523326</v>
      </c>
      <c r="D121" s="267">
        <f>MonthlyWorksheet!G120</f>
        <v>8.0336581299441594</v>
      </c>
      <c r="E121" s="258">
        <f>MonthlyWorksheet!O120</f>
        <v>65.454768762639588</v>
      </c>
      <c r="F121" s="258">
        <f>MonthlyWorksheet!S120</f>
        <v>38.939412237630862</v>
      </c>
      <c r="G121" s="268">
        <f t="shared" ca="1" si="4"/>
        <v>65.454768762639588</v>
      </c>
      <c r="H121" s="259">
        <f t="shared" ca="1" si="5"/>
        <v>38.939412237630862</v>
      </c>
    </row>
    <row r="122" spans="1:8" ht="15" thickBot="1" x14ac:dyDescent="0.35">
      <c r="A122" s="59">
        <v>44166</v>
      </c>
      <c r="B122" s="192">
        <f t="shared" si="6"/>
        <v>7.0535432395959967</v>
      </c>
      <c r="C122" s="192">
        <f t="shared" si="7"/>
        <v>5.2698969899925139</v>
      </c>
      <c r="D122" s="267">
        <f>MonthlyWorksheet!G121</f>
        <v>8.3218710859900717</v>
      </c>
      <c r="E122" s="258">
        <f>MonthlyWorksheet!O121</f>
        <v>58.698677539374664</v>
      </c>
      <c r="F122" s="258">
        <f>MonthlyWorksheet!S121</f>
        <v>43.855403387164813</v>
      </c>
      <c r="G122" s="268">
        <f t="shared" ca="1" si="4"/>
        <v>58.698677539374664</v>
      </c>
      <c r="H122" s="259">
        <f t="shared" ca="1" si="5"/>
        <v>43.855403387164813</v>
      </c>
    </row>
    <row r="123" spans="1:8" ht="15" thickBot="1" x14ac:dyDescent="0.35">
      <c r="A123" s="59">
        <v>44197</v>
      </c>
      <c r="B123" s="192">
        <f t="shared" si="6"/>
        <v>9.343723891809379</v>
      </c>
      <c r="C123" s="192">
        <f t="shared" si="7"/>
        <v>6.8205023419522393</v>
      </c>
      <c r="D123" s="267">
        <f>MonthlyWorksheet!G122</f>
        <v>8.9962672158038721</v>
      </c>
      <c r="E123" s="258">
        <f>MonthlyWorksheet!O122</f>
        <v>84.05863692140808</v>
      </c>
      <c r="F123" s="258">
        <f>MonthlyWorksheet!S122</f>
        <v>61.359061614218462</v>
      </c>
      <c r="G123" s="268">
        <f t="shared" ca="1" si="4"/>
        <v>84.05863692140808</v>
      </c>
      <c r="H123" s="259">
        <f t="shared" ca="1" si="5"/>
        <v>61.359061614218462</v>
      </c>
    </row>
    <row r="124" spans="1:8" ht="15" thickBot="1" x14ac:dyDescent="0.35">
      <c r="A124" s="59">
        <v>44228</v>
      </c>
      <c r="B124" s="192">
        <f t="shared" si="6"/>
        <v>8.8969906413947957</v>
      </c>
      <c r="C124" s="192">
        <f t="shared" si="7"/>
        <v>5.7252676665604962</v>
      </c>
      <c r="D124" s="267">
        <f>MonthlyWorksheet!G123</f>
        <v>8.9389056364304551</v>
      </c>
      <c r="E124" s="258">
        <f>MonthlyWorksheet!O123</f>
        <v>79.529359791632956</v>
      </c>
      <c r="F124" s="258">
        <f>MonthlyWorksheet!S123</f>
        <v>51.177627414690662</v>
      </c>
      <c r="G124" s="268">
        <f t="shared" ca="1" si="4"/>
        <v>79.529359791632956</v>
      </c>
      <c r="H124" s="259">
        <f t="shared" ca="1" si="5"/>
        <v>51.177627414690662</v>
      </c>
    </row>
    <row r="125" spans="1:8" ht="15" thickBot="1" x14ac:dyDescent="0.35">
      <c r="A125" s="59">
        <v>44256</v>
      </c>
      <c r="B125" s="192">
        <f t="shared" si="6"/>
        <v>8.1937464522200365</v>
      </c>
      <c r="C125" s="192">
        <f t="shared" si="7"/>
        <v>5.0803789265541113</v>
      </c>
      <c r="D125" s="267">
        <f>MonthlyWorksheet!G124</f>
        <v>8.8418321944139144</v>
      </c>
      <c r="E125" s="258">
        <f>MonthlyWorksheet!O124</f>
        <v>72.447731174103907</v>
      </c>
      <c r="F125" s="258">
        <f>MonthlyWorksheet!S124</f>
        <v>44.919857952628142</v>
      </c>
      <c r="G125" s="268">
        <f t="shared" ca="1" si="4"/>
        <v>72.447731174103907</v>
      </c>
      <c r="H125" s="259">
        <f t="shared" ca="1" si="5"/>
        <v>44.919857952628142</v>
      </c>
    </row>
    <row r="126" spans="1:8" ht="15" thickBot="1" x14ac:dyDescent="0.35">
      <c r="A126" s="59">
        <v>44287</v>
      </c>
      <c r="B126" s="192">
        <f t="shared" si="6"/>
        <v>8.2746789981176718</v>
      </c>
      <c r="C126" s="192">
        <f t="shared" si="7"/>
        <v>4.7223007131365344</v>
      </c>
      <c r="D126" s="267">
        <f>MonthlyWorksheet!G125</f>
        <v>8.4844254306257216</v>
      </c>
      <c r="E126" s="258">
        <f>MonthlyWorksheet!O125</f>
        <v>70.205896921894137</v>
      </c>
      <c r="F126" s="258">
        <f>MonthlyWorksheet!S125</f>
        <v>40.066008261597595</v>
      </c>
      <c r="G126" s="268">
        <f t="shared" ca="1" si="4"/>
        <v>70.205896921894137</v>
      </c>
      <c r="H126" s="259">
        <f t="shared" ca="1" si="5"/>
        <v>40.066008261597595</v>
      </c>
    </row>
    <row r="127" spans="1:8" ht="15" thickBot="1" x14ac:dyDescent="0.35">
      <c r="A127" s="59">
        <v>44317</v>
      </c>
      <c r="B127" s="192">
        <f t="shared" si="6"/>
        <v>6.8640287136208658</v>
      </c>
      <c r="C127" s="192">
        <f t="shared" si="7"/>
        <v>3.2443735857022364</v>
      </c>
      <c r="D127" s="267">
        <f>MonthlyWorksheet!G126</f>
        <v>8.4094141345220272</v>
      </c>
      <c r="E127" s="258">
        <f>MonthlyWorksheet!O126</f>
        <v>57.722460084088354</v>
      </c>
      <c r="F127" s="258">
        <f>MonthlyWorksheet!S126</f>
        <v>27.283281089274301</v>
      </c>
      <c r="G127" s="268">
        <f t="shared" ca="1" si="4"/>
        <v>57.722460084088354</v>
      </c>
      <c r="H127" s="259">
        <f t="shared" ca="1" si="5"/>
        <v>27.283281089274301</v>
      </c>
    </row>
    <row r="128" spans="1:8" ht="15" thickBot="1" x14ac:dyDescent="0.35">
      <c r="A128" s="59">
        <v>44348</v>
      </c>
      <c r="B128" s="192">
        <f t="shared" si="6"/>
        <v>5.9425283155376993</v>
      </c>
      <c r="C128" s="192">
        <f t="shared" si="7"/>
        <v>4.3847333490985561</v>
      </c>
      <c r="D128" s="267">
        <f>MonthlyWorksheet!G127</f>
        <v>8.396176846974317</v>
      </c>
      <c r="E128" s="258">
        <f>MonthlyWorksheet!O127</f>
        <v>49.89451865540692</v>
      </c>
      <c r="F128" s="258">
        <f>MonthlyWorksheet!S127</f>
        <v>36.814996625857454</v>
      </c>
      <c r="G128" s="268">
        <f t="shared" ca="1" si="4"/>
        <v>49.89451865540692</v>
      </c>
      <c r="H128" s="259">
        <f t="shared" ca="1" si="5"/>
        <v>36.814996625857454</v>
      </c>
    </row>
    <row r="129" spans="1:8" ht="15" thickBot="1" x14ac:dyDescent="0.35">
      <c r="A129" s="59">
        <v>44378</v>
      </c>
      <c r="B129" s="192">
        <f t="shared" si="6"/>
        <v>9.3459925645842734</v>
      </c>
      <c r="C129" s="192">
        <f t="shared" si="7"/>
        <v>5.6335518410882459</v>
      </c>
      <c r="D129" s="267">
        <f>MonthlyWorksheet!G128</f>
        <v>8.422651422069741</v>
      </c>
      <c r="E129" s="258">
        <f>MonthlyWorksheet!O128</f>
        <v>78.718037564748954</v>
      </c>
      <c r="F129" s="258">
        <f>MonthlyWorksheet!S128</f>
        <v>47.449443425645519</v>
      </c>
      <c r="G129" s="268">
        <f t="shared" ca="1" si="4"/>
        <v>78.718037564748954</v>
      </c>
      <c r="H129" s="259">
        <f t="shared" ca="1" si="5"/>
        <v>47.449443425645519</v>
      </c>
    </row>
    <row r="130" spans="1:8" ht="15" thickBot="1" x14ac:dyDescent="0.35">
      <c r="A130" s="59">
        <v>44409</v>
      </c>
      <c r="B130" s="192">
        <f t="shared" si="6"/>
        <v>10.907091400010314</v>
      </c>
      <c r="C130" s="192">
        <f t="shared" si="7"/>
        <v>5.8633753864942424</v>
      </c>
      <c r="D130" s="267">
        <f>MonthlyWorksheet!G129</f>
        <v>8.4447135679825909</v>
      </c>
      <c r="E130" s="258">
        <f>MonthlyWorksheet!O129</f>
        <v>92.107262732893332</v>
      </c>
      <c r="F130" s="258">
        <f>MonthlyWorksheet!S129</f>
        <v>49.514525680503098</v>
      </c>
      <c r="G130" s="268">
        <f t="shared" ca="1" si="4"/>
        <v>92.107262732893332</v>
      </c>
      <c r="H130" s="259">
        <f t="shared" ca="1" si="5"/>
        <v>49.514525680503098</v>
      </c>
    </row>
    <row r="131" spans="1:8" ht="15" thickBot="1" x14ac:dyDescent="0.35">
      <c r="A131" s="59">
        <v>44440</v>
      </c>
      <c r="B131" s="192">
        <f t="shared" si="6"/>
        <v>8.3193558002295678</v>
      </c>
      <c r="C131" s="192">
        <f t="shared" si="7"/>
        <v>5.1271290953191491</v>
      </c>
      <c r="D131" s="267">
        <f>MonthlyWorksheet!G130</f>
        <v>8.5241372932688542</v>
      </c>
      <c r="E131" s="258">
        <f>MonthlyWorksheet!O130</f>
        <v>70.915331032709403</v>
      </c>
      <c r="F131" s="258">
        <f>MonthlyWorksheet!S130</f>
        <v>43.704352328813762</v>
      </c>
      <c r="G131" s="268">
        <f t="shared" ca="1" si="4"/>
        <v>70.915331032709403</v>
      </c>
      <c r="H131" s="259">
        <f t="shared" ca="1" si="5"/>
        <v>43.704352328813762</v>
      </c>
    </row>
    <row r="132" spans="1:8" ht="15" thickBot="1" x14ac:dyDescent="0.35">
      <c r="A132" s="59">
        <v>44470</v>
      </c>
      <c r="B132" s="192">
        <f t="shared" si="6"/>
        <v>9.0650503761597143</v>
      </c>
      <c r="C132" s="192">
        <f t="shared" si="7"/>
        <v>5.3718609197999285</v>
      </c>
      <c r="D132" s="267">
        <f>MonthlyWorksheet!G131</f>
        <v>8.3683513972468759</v>
      </c>
      <c r="E132" s="258">
        <f>MonthlyWorksheet!O131</f>
        <v>75.859526981449463</v>
      </c>
      <c r="F132" s="258">
        <f>MonthlyWorksheet!S131</f>
        <v>44.95361983402362</v>
      </c>
      <c r="G132" s="268">
        <f t="shared" ca="1" si="4"/>
        <v>75.859526981449463</v>
      </c>
      <c r="H132" s="259">
        <f t="shared" ca="1" si="5"/>
        <v>44.95361983402362</v>
      </c>
    </row>
    <row r="133" spans="1:8" ht="15" thickBot="1" x14ac:dyDescent="0.35">
      <c r="A133" s="59">
        <v>44501</v>
      </c>
      <c r="B133" s="192">
        <f t="shared" si="6"/>
        <v>8.1475671112600043</v>
      </c>
      <c r="C133" s="192">
        <f t="shared" si="7"/>
        <v>4.8470337681523326</v>
      </c>
      <c r="D133" s="267">
        <f>MonthlyWorksheet!G132</f>
        <v>8.7709772261680339</v>
      </c>
      <c r="E133" s="258">
        <f>MonthlyWorksheet!O132</f>
        <v>71.46212558153718</v>
      </c>
      <c r="F133" s="258">
        <f>MonthlyWorksheet!S132</f>
        <v>42.513222794931536</v>
      </c>
      <c r="G133" s="268">
        <f t="shared" ca="1" si="4"/>
        <v>71.46212558153718</v>
      </c>
      <c r="H133" s="259">
        <f t="shared" ca="1" si="5"/>
        <v>42.513222794931536</v>
      </c>
    </row>
    <row r="134" spans="1:8" ht="15" thickBot="1" x14ac:dyDescent="0.35">
      <c r="A134" s="59">
        <v>44531</v>
      </c>
      <c r="B134" s="192">
        <f t="shared" si="6"/>
        <v>7.0535432395959967</v>
      </c>
      <c r="C134" s="192">
        <f t="shared" si="7"/>
        <v>5.2698969899925139</v>
      </c>
      <c r="D134" s="267">
        <f>MonthlyWorksheet!G133</f>
        <v>9.0856420068789401</v>
      </c>
      <c r="E134" s="258">
        <f>MonthlyWorksheet!O133</f>
        <v>64.085968755010356</v>
      </c>
      <c r="F134" s="258">
        <f>MonthlyWorksheet!S133</f>
        <v>47.880397464200868</v>
      </c>
      <c r="G134" s="268">
        <f t="shared" ca="1" si="4"/>
        <v>64.085968755010356</v>
      </c>
      <c r="H134" s="259">
        <f t="shared" ca="1" si="5"/>
        <v>47.880397464200868</v>
      </c>
    </row>
    <row r="135" spans="1:8" ht="15" thickBot="1" x14ac:dyDescent="0.35">
      <c r="A135" s="59">
        <v>44562</v>
      </c>
      <c r="B135" s="192">
        <f t="shared" si="6"/>
        <v>9.343723891809379</v>
      </c>
      <c r="C135" s="192">
        <f t="shared" si="7"/>
        <v>6.8205023419522384</v>
      </c>
      <c r="D135" s="267">
        <f>MonthlyWorksheet!G134</f>
        <v>9.8219333700830926</v>
      </c>
      <c r="E135" s="258">
        <f>MonthlyWorksheet!O134</f>
        <v>91.7734334938052</v>
      </c>
      <c r="F135" s="258">
        <f>MonthlyWorksheet!S134</f>
        <v>66.990519553150577</v>
      </c>
      <c r="G135" s="268">
        <f t="shared" ca="1" si="4"/>
        <v>91.7734334938052</v>
      </c>
      <c r="H135" s="259">
        <f t="shared" ca="1" si="5"/>
        <v>66.990519553150577</v>
      </c>
    </row>
    <row r="136" spans="1:8" ht="15" thickBot="1" x14ac:dyDescent="0.35">
      <c r="A136" s="59">
        <v>44593</v>
      </c>
      <c r="B136" s="192">
        <f t="shared" si="6"/>
        <v>8.8969906413947957</v>
      </c>
      <c r="C136" s="192">
        <f t="shared" si="7"/>
        <v>5.7252676665604962</v>
      </c>
      <c r="D136" s="267">
        <f>MonthlyWorksheet!G135</f>
        <v>9.7593072166915285</v>
      </c>
      <c r="E136" s="258">
        <f>MonthlyWorksheet!O135</f>
        <v>86.828464973401225</v>
      </c>
      <c r="F136" s="258">
        <f>MonthlyWorksheet!S135</f>
        <v>55.874646055754518</v>
      </c>
      <c r="G136" s="268">
        <f t="shared" ca="1" si="4"/>
        <v>86.828464973401225</v>
      </c>
      <c r="H136" s="259">
        <f t="shared" ca="1" si="5"/>
        <v>55.874646055754518</v>
      </c>
    </row>
    <row r="137" spans="1:8" ht="15" thickBot="1" x14ac:dyDescent="0.35">
      <c r="A137" s="59">
        <v>44621</v>
      </c>
      <c r="B137" s="192">
        <f t="shared" si="6"/>
        <v>8.1937464522200365</v>
      </c>
      <c r="C137" s="192">
        <f t="shared" si="7"/>
        <v>5.0803789265541113</v>
      </c>
      <c r="D137" s="267">
        <f>MonthlyWorksheet!G136</f>
        <v>9.6533244955673556</v>
      </c>
      <c r="E137" s="258">
        <f>MonthlyWorksheet!O136</f>
        <v>79.096893337683795</v>
      </c>
      <c r="F137" s="258">
        <f>MonthlyWorksheet!S136</f>
        <v>49.042546338468988</v>
      </c>
      <c r="G137" s="268">
        <f t="shared" ca="1" si="4"/>
        <v>79.096893337683795</v>
      </c>
      <c r="H137" s="259">
        <f t="shared" ca="1" si="5"/>
        <v>49.042546338468988</v>
      </c>
    </row>
    <row r="138" spans="1:8" ht="15" thickBot="1" x14ac:dyDescent="0.35">
      <c r="A138" s="59">
        <v>44652</v>
      </c>
      <c r="B138" s="192">
        <f t="shared" si="6"/>
        <v>8.2746789981176718</v>
      </c>
      <c r="C138" s="192">
        <f t="shared" si="7"/>
        <v>4.7223007131365344</v>
      </c>
      <c r="D138" s="267">
        <f>MonthlyWorksheet!G137</f>
        <v>9.2631153859737836</v>
      </c>
      <c r="E138" s="258">
        <f>MonthlyWorksheet!O137</f>
        <v>76.649306341457944</v>
      </c>
      <c r="F138" s="258">
        <f>MonthlyWorksheet!S137</f>
        <v>43.743216393050005</v>
      </c>
      <c r="G138" s="268">
        <f t="shared" ca="1" si="4"/>
        <v>76.649306341457944</v>
      </c>
      <c r="H138" s="259">
        <f t="shared" ca="1" si="5"/>
        <v>43.743216393050005</v>
      </c>
    </row>
    <row r="139" spans="1:8" ht="15" thickBot="1" x14ac:dyDescent="0.35">
      <c r="A139" s="59">
        <v>44682</v>
      </c>
      <c r="B139" s="192">
        <f t="shared" si="6"/>
        <v>6.8640287136208658</v>
      </c>
      <c r="C139" s="192">
        <f t="shared" si="7"/>
        <v>3.2443735857022364</v>
      </c>
      <c r="D139" s="267">
        <f>MonthlyWorksheet!G138</f>
        <v>9.1812196469232816</v>
      </c>
      <c r="E139" s="258">
        <f>MonthlyWorksheet!O138</f>
        <v>63.020155282541431</v>
      </c>
      <c r="F139" s="258">
        <f>MonthlyWorksheet!S138</f>
        <v>29.78730650700831</v>
      </c>
      <c r="G139" s="268">
        <f t="shared" ca="1" si="4"/>
        <v>63.020155282541431</v>
      </c>
      <c r="H139" s="259">
        <f t="shared" ca="1" si="5"/>
        <v>29.78730650700831</v>
      </c>
    </row>
    <row r="140" spans="1:8" ht="15" thickBot="1" x14ac:dyDescent="0.35">
      <c r="A140" s="59">
        <v>44713</v>
      </c>
      <c r="B140" s="192">
        <f t="shared" si="6"/>
        <v>5.9425283155376993</v>
      </c>
      <c r="C140" s="192">
        <f t="shared" si="7"/>
        <v>4.3847333490985561</v>
      </c>
      <c r="D140" s="267">
        <f>MonthlyWorksheet!G139</f>
        <v>9.1667674576790752</v>
      </c>
      <c r="E140" s="258">
        <f>MonthlyWorksheet!O139</f>
        <v>54.473775179207436</v>
      </c>
      <c r="F140" s="258">
        <f>MonthlyWorksheet!S139</f>
        <v>40.193830975116825</v>
      </c>
      <c r="G140" s="268">
        <f t="shared" ca="1" si="4"/>
        <v>54.473775179207436</v>
      </c>
      <c r="H140" s="259">
        <f t="shared" ca="1" si="5"/>
        <v>40.193830975116825</v>
      </c>
    </row>
    <row r="141" spans="1:8" ht="15" thickBot="1" x14ac:dyDescent="0.35">
      <c r="A141" s="59">
        <v>44743</v>
      </c>
      <c r="B141" s="192">
        <f t="shared" si="6"/>
        <v>9.3459925645842734</v>
      </c>
      <c r="C141" s="192">
        <f t="shared" si="7"/>
        <v>5.6335518410882459</v>
      </c>
      <c r="D141" s="267">
        <f>MonthlyWorksheet!G140</f>
        <v>9.1956718361674916</v>
      </c>
      <c r="E141" s="258">
        <f>MonthlyWorksheet!O140</f>
        <v>85.942680607178389</v>
      </c>
      <c r="F141" s="258">
        <f>MonthlyWorksheet!S140</f>
        <v>51.804294002684706</v>
      </c>
      <c r="G141" s="268">
        <f t="shared" ca="1" si="4"/>
        <v>85.942680607178389</v>
      </c>
      <c r="H141" s="259">
        <f t="shared" ca="1" si="5"/>
        <v>51.804294002684706</v>
      </c>
    </row>
    <row r="142" spans="1:8" ht="15" thickBot="1" x14ac:dyDescent="0.35">
      <c r="A142" s="59">
        <v>44774</v>
      </c>
      <c r="B142" s="192">
        <f t="shared" si="6"/>
        <v>10.907091400010314</v>
      </c>
      <c r="C142" s="192">
        <f t="shared" si="7"/>
        <v>5.8633753864942424</v>
      </c>
      <c r="D142" s="267">
        <f>MonthlyWorksheet!G141</f>
        <v>9.2197588182411661</v>
      </c>
      <c r="E142" s="258">
        <f>MonthlyWorksheet!O141</f>
        <v>100.56075211660747</v>
      </c>
      <c r="F142" s="258">
        <f>MonthlyWorksheet!S141</f>
        <v>54.058906924288493</v>
      </c>
      <c r="G142" s="268">
        <f t="shared" ca="1" si="4"/>
        <v>100.56075211660747</v>
      </c>
      <c r="H142" s="259">
        <f t="shared" ca="1" si="5"/>
        <v>54.058906924288493</v>
      </c>
    </row>
    <row r="143" spans="1:8" ht="15" thickBot="1" x14ac:dyDescent="0.35">
      <c r="A143" s="59">
        <v>44805</v>
      </c>
      <c r="B143" s="192">
        <f t="shared" si="6"/>
        <v>8.3193558002295678</v>
      </c>
      <c r="C143" s="192">
        <f t="shared" si="7"/>
        <v>5.1271290953191491</v>
      </c>
      <c r="D143" s="267">
        <f>MonthlyWorksheet!G142</f>
        <v>9.3064719537064029</v>
      </c>
      <c r="E143" s="258">
        <f>MonthlyWorksheet!O142</f>
        <v>77.423851427741155</v>
      </c>
      <c r="F143" s="258">
        <f>MonthlyWorksheet!S142</f>
        <v>47.715483128619745</v>
      </c>
      <c r="G143" s="268">
        <f t="shared" ca="1" si="4"/>
        <v>77.423851427741155</v>
      </c>
      <c r="H143" s="259">
        <f t="shared" ca="1" si="5"/>
        <v>47.715483128619745</v>
      </c>
    </row>
    <row r="144" spans="1:8" ht="15" thickBot="1" x14ac:dyDescent="0.35">
      <c r="A144" s="59">
        <v>44835</v>
      </c>
      <c r="B144" s="192">
        <f t="shared" si="6"/>
        <v>9.0650503761597143</v>
      </c>
      <c r="C144" s="192">
        <f t="shared" si="7"/>
        <v>5.3718609197999285</v>
      </c>
      <c r="D144" s="267">
        <f>MonthlyWorksheet!G143</f>
        <v>9.1363882229743307</v>
      </c>
      <c r="E144" s="258">
        <f>MonthlyWorksheet!O143</f>
        <v>82.821819497414637</v>
      </c>
      <c r="F144" s="258">
        <f>MonthlyWorksheet!S143</f>
        <v>49.079406843116125</v>
      </c>
      <c r="G144" s="268">
        <f t="shared" ca="1" si="4"/>
        <v>82.821819497414637</v>
      </c>
      <c r="H144" s="259">
        <f t="shared" ca="1" si="5"/>
        <v>49.079406843116125</v>
      </c>
    </row>
    <row r="145" spans="1:8" ht="15" thickBot="1" x14ac:dyDescent="0.35">
      <c r="A145" s="59">
        <v>44866</v>
      </c>
      <c r="B145" s="192">
        <f t="shared" si="6"/>
        <v>8.1475671112600043</v>
      </c>
      <c r="C145" s="192">
        <f t="shared" si="7"/>
        <v>4.8470337681523326</v>
      </c>
      <c r="D145" s="267">
        <f>MonthlyWorksheet!G144</f>
        <v>9.5759665469475284</v>
      </c>
      <c r="E145" s="258">
        <f>MonthlyWorksheet!O144</f>
        <v>78.020830096435716</v>
      </c>
      <c r="F145" s="258">
        <f>MonthlyWorksheet!S144</f>
        <v>46.415033215751755</v>
      </c>
      <c r="G145" s="268">
        <f t="shared" ca="1" si="4"/>
        <v>78.020830096435716</v>
      </c>
      <c r="H145" s="259">
        <f t="shared" ca="1" si="5"/>
        <v>46.415033215751755</v>
      </c>
    </row>
    <row r="146" spans="1:8" ht="15" thickBot="1" x14ac:dyDescent="0.35">
      <c r="A146" s="59">
        <v>44896</v>
      </c>
      <c r="B146" s="192">
        <f t="shared" si="6"/>
        <v>7.0535432395959967</v>
      </c>
      <c r="C146" s="192">
        <f t="shared" si="7"/>
        <v>5.2698969899925139</v>
      </c>
      <c r="D146" s="267">
        <f>MonthlyWorksheet!G145</f>
        <v>9.9195108677103647</v>
      </c>
      <c r="E146" s="258">
        <f>MonthlyWorksheet!O145</f>
        <v>69.967698821037459</v>
      </c>
      <c r="F146" s="258">
        <f>MonthlyWorksheet!S145</f>
        <v>52.274800463944878</v>
      </c>
      <c r="G146" s="268">
        <f t="shared" ca="1" si="4"/>
        <v>69.967698821037459</v>
      </c>
      <c r="H146" s="259">
        <f t="shared" ca="1" si="5"/>
        <v>52.274800463944878</v>
      </c>
    </row>
    <row r="147" spans="1:8" ht="15" thickBot="1" x14ac:dyDescent="0.35">
      <c r="A147" s="59">
        <v>44927</v>
      </c>
      <c r="B147" s="192">
        <f t="shared" si="6"/>
        <v>9.343723891809379</v>
      </c>
      <c r="C147" s="192">
        <f t="shared" si="7"/>
        <v>6.8205023419522393</v>
      </c>
      <c r="D147" s="267">
        <f>MonthlyWorksheet!G146</f>
        <v>10.723378131418876</v>
      </c>
      <c r="E147" s="258">
        <f>MonthlyWorksheet!O146</f>
        <v>100.19628444744477</v>
      </c>
      <c r="F147" s="258">
        <f>MonthlyWorksheet!S146</f>
        <v>73.138825658981872</v>
      </c>
      <c r="G147" s="268">
        <f t="shared" ca="1" si="4"/>
        <v>100.19628444744477</v>
      </c>
      <c r="H147" s="259">
        <f t="shared" ca="1" si="5"/>
        <v>73.138825658981872</v>
      </c>
    </row>
    <row r="148" spans="1:8" ht="15" thickBot="1" x14ac:dyDescent="0.35">
      <c r="A148" s="59">
        <v>44958</v>
      </c>
      <c r="B148" s="192">
        <f t="shared" si="6"/>
        <v>8.8969906413947957</v>
      </c>
      <c r="C148" s="192">
        <f t="shared" si="7"/>
        <v>5.7252676665604962</v>
      </c>
      <c r="D148" s="267">
        <f>MonthlyWorksheet!G147</f>
        <v>10.655004227989687</v>
      </c>
      <c r="E148" s="258">
        <f>MonthlyWorksheet!O147</f>
        <v>94.797472900446223</v>
      </c>
      <c r="F148" s="258">
        <f>MonthlyWorksheet!S147</f>
        <v>61.002751193574738</v>
      </c>
      <c r="G148" s="268">
        <f t="shared" ca="1" si="4"/>
        <v>94.797472900446223</v>
      </c>
      <c r="H148" s="259">
        <f t="shared" ca="1" si="5"/>
        <v>61.002751193574738</v>
      </c>
    </row>
    <row r="149" spans="1:8" ht="15" thickBot="1" x14ac:dyDescent="0.35">
      <c r="A149" s="59">
        <v>44986</v>
      </c>
      <c r="B149" s="192">
        <f t="shared" si="6"/>
        <v>8.1937464522200365</v>
      </c>
      <c r="C149" s="192">
        <f t="shared" si="7"/>
        <v>5.0803789265541113</v>
      </c>
      <c r="D149" s="267">
        <f>MonthlyWorksheet!G148</f>
        <v>10.539294545263383</v>
      </c>
      <c r="E149" s="258">
        <f>MonthlyWorksheet!O148</f>
        <v>86.356307289153833</v>
      </c>
      <c r="F149" s="258">
        <f>MonthlyWorksheet!S148</f>
        <v>53.543609908502788</v>
      </c>
      <c r="G149" s="268">
        <f t="shared" ca="1" si="4"/>
        <v>86.356307289153833</v>
      </c>
      <c r="H149" s="259">
        <f t="shared" ca="1" si="5"/>
        <v>53.543609908502788</v>
      </c>
    </row>
    <row r="150" spans="1:8" ht="15" thickBot="1" x14ac:dyDescent="0.35">
      <c r="A150" s="59">
        <v>45017</v>
      </c>
      <c r="B150" s="192">
        <f t="shared" si="6"/>
        <v>8.2746789981176718</v>
      </c>
      <c r="C150" s="192">
        <f t="shared" si="7"/>
        <v>4.7223007131365344</v>
      </c>
      <c r="D150" s="267">
        <f>MonthlyWorksheet!G149</f>
        <v>10.113272531589233</v>
      </c>
      <c r="E150" s="258">
        <f>MonthlyWorksheet!O149</f>
        <v>83.684083819381769</v>
      </c>
      <c r="F150" s="258">
        <f>MonthlyWorksheet!S149</f>
        <v>47.757914088067963</v>
      </c>
      <c r="G150" s="268">
        <f t="shared" ca="1" si="4"/>
        <v>83.684083819381769</v>
      </c>
      <c r="H150" s="259">
        <f t="shared" ca="1" si="5"/>
        <v>47.757914088067963</v>
      </c>
    </row>
    <row r="151" spans="1:8" ht="15" thickBot="1" x14ac:dyDescent="0.35">
      <c r="A151" s="59">
        <v>45047</v>
      </c>
      <c r="B151" s="192">
        <f t="shared" si="6"/>
        <v>6.8640287136208666</v>
      </c>
      <c r="C151" s="192">
        <f t="shared" si="7"/>
        <v>3.2443735857022369</v>
      </c>
      <c r="D151" s="267">
        <f>MonthlyWorksheet!G150</f>
        <v>10.023860504027992</v>
      </c>
      <c r="E151" s="258">
        <f>MonthlyWorksheet!O150</f>
        <v>68.804066320978265</v>
      </c>
      <c r="F151" s="258">
        <f>MonthlyWorksheet!S150</f>
        <v>32.521148246032325</v>
      </c>
      <c r="G151" s="268">
        <f t="shared" ca="1" si="4"/>
        <v>68.804066320978265</v>
      </c>
      <c r="H151" s="259">
        <f t="shared" ca="1" si="5"/>
        <v>32.521148246032325</v>
      </c>
    </row>
    <row r="152" spans="1:8" ht="15" thickBot="1" x14ac:dyDescent="0.35">
      <c r="A152" s="59">
        <v>45078</v>
      </c>
      <c r="B152" s="192">
        <f t="shared" si="6"/>
        <v>5.9425283155376993</v>
      </c>
      <c r="C152" s="192">
        <f t="shared" si="7"/>
        <v>4.3847333490985561</v>
      </c>
      <c r="D152" s="267">
        <f>MonthlyWorksheet!G151</f>
        <v>10.008081910928949</v>
      </c>
      <c r="E152" s="258">
        <f>MonthlyWorksheet!O151</f>
        <v>59.473310139915924</v>
      </c>
      <c r="F152" s="258">
        <f>MonthlyWorksheet!S151</f>
        <v>43.882770515360164</v>
      </c>
      <c r="G152" s="268">
        <f t="shared" ca="1" si="4"/>
        <v>59.473310139915924</v>
      </c>
      <c r="H152" s="259">
        <f t="shared" ca="1" si="5"/>
        <v>43.882770515360164</v>
      </c>
    </row>
    <row r="153" spans="1:8" ht="15" thickBot="1" x14ac:dyDescent="0.35">
      <c r="A153" s="59">
        <v>45108</v>
      </c>
      <c r="B153" s="192">
        <f t="shared" si="6"/>
        <v>9.3459925645842734</v>
      </c>
      <c r="C153" s="192">
        <f t="shared" si="7"/>
        <v>5.6335518410882459</v>
      </c>
      <c r="D153" s="267">
        <f>MonthlyWorksheet!G152</f>
        <v>10.039639097127038</v>
      </c>
      <c r="E153" s="258">
        <f>MonthlyWorksheet!O152</f>
        <v>93.830392352858865</v>
      </c>
      <c r="F153" s="258">
        <f>MonthlyWorksheet!S152</f>
        <v>56.558827319481559</v>
      </c>
      <c r="G153" s="268">
        <f t="shared" ca="1" si="4"/>
        <v>93.830392352858865</v>
      </c>
      <c r="H153" s="259">
        <f t="shared" ca="1" si="5"/>
        <v>56.558827319481559</v>
      </c>
    </row>
    <row r="154" spans="1:8" ht="15" thickBot="1" x14ac:dyDescent="0.35">
      <c r="A154" s="59">
        <v>45139</v>
      </c>
      <c r="B154" s="192">
        <f t="shared" si="6"/>
        <v>10.907091400010314</v>
      </c>
      <c r="C154" s="192">
        <f t="shared" si="7"/>
        <v>5.8633753864942424</v>
      </c>
      <c r="D154" s="267">
        <f>MonthlyWorksheet!G153</f>
        <v>10.065936752292107</v>
      </c>
      <c r="E154" s="258">
        <f>MonthlyWorksheet!O153</f>
        <v>109.79009218397299</v>
      </c>
      <c r="F154" s="258">
        <f>MonthlyWorksheet!S153</f>
        <v>59.020365795397332</v>
      </c>
      <c r="G154" s="268">
        <f t="shared" ca="1" si="4"/>
        <v>109.79009218397299</v>
      </c>
      <c r="H154" s="259">
        <f t="shared" ca="1" si="5"/>
        <v>59.020365795397332</v>
      </c>
    </row>
    <row r="155" spans="1:8" ht="15" thickBot="1" x14ac:dyDescent="0.35">
      <c r="A155" s="59">
        <v>45170</v>
      </c>
      <c r="B155" s="192">
        <f t="shared" si="6"/>
        <v>8.3193558002295678</v>
      </c>
      <c r="C155" s="192">
        <f t="shared" si="7"/>
        <v>5.1271290953191491</v>
      </c>
      <c r="D155" s="267">
        <f>MonthlyWorksheet!G154</f>
        <v>10.16060831088636</v>
      </c>
      <c r="E155" s="258">
        <f>MonthlyWorksheet!O154</f>
        <v>84.529715685033196</v>
      </c>
      <c r="F155" s="258">
        <f>MonthlyWorksheet!S154</f>
        <v>52.094750496887009</v>
      </c>
      <c r="G155" s="268">
        <f t="shared" ref="G155:G218" ca="1" si="8">IF(E155/D155&lt;6.5,E155+$I$4*VLOOKUP(YEAR(A155),CarbonPrice,4),E155+(E155/D155*($I$3/7))*VLOOKUP(YEAR(A155),CarbonPrice,4))</f>
        <v>84.529715685033196</v>
      </c>
      <c r="H155" s="259">
        <f t="shared" ref="H155:H218" ca="1" si="9">IF(F155/$D155&lt;6.5,F155+$I$4*VLOOKUP(YEAR($A155),CarbonPrice,4),F155+(F155/$D155*($I$3/7))*VLOOKUP(YEAR($A155),CarbonPrice,4))</f>
        <v>52.094750496887009</v>
      </c>
    </row>
    <row r="156" spans="1:8" ht="15" thickBot="1" x14ac:dyDescent="0.35">
      <c r="A156" s="59">
        <v>45200</v>
      </c>
      <c r="B156" s="192">
        <f t="shared" ref="B156:B219" si="10">E156/D156</f>
        <v>9.0650503761597143</v>
      </c>
      <c r="C156" s="192">
        <f t="shared" ref="C156:C219" si="11">F156/D156</f>
        <v>5.3718609197999285</v>
      </c>
      <c r="D156" s="267">
        <f>MonthlyWorksheet!G155</f>
        <v>9.9749145080554609</v>
      </c>
      <c r="E156" s="258">
        <f>MonthlyWorksheet!O155</f>
        <v>90.423102513409148</v>
      </c>
      <c r="F156" s="258">
        <f>MonthlyWorksheet!S155</f>
        <v>53.58385342416846</v>
      </c>
      <c r="G156" s="268">
        <f t="shared" ca="1" si="8"/>
        <v>90.423102513409148</v>
      </c>
      <c r="H156" s="259">
        <f t="shared" ca="1" si="9"/>
        <v>53.58385342416846</v>
      </c>
    </row>
    <row r="157" spans="1:8" ht="15" thickBot="1" x14ac:dyDescent="0.35">
      <c r="A157" s="59">
        <v>45231</v>
      </c>
      <c r="B157" s="192">
        <f t="shared" si="10"/>
        <v>8.1475671112600043</v>
      </c>
      <c r="C157" s="192">
        <f t="shared" si="11"/>
        <v>4.8470337681523326</v>
      </c>
      <c r="D157" s="267">
        <f>MonthlyWorksheet!G156</f>
        <v>10.454836780863555</v>
      </c>
      <c r="E157" s="258">
        <f>MonthlyWorksheet!O156</f>
        <v>85.181484309355326</v>
      </c>
      <c r="F157" s="258">
        <f>MonthlyWorksheet!S156</f>
        <v>50.674946917366682</v>
      </c>
      <c r="G157" s="268">
        <f t="shared" ca="1" si="8"/>
        <v>85.181484309355326</v>
      </c>
      <c r="H157" s="259">
        <f t="shared" ca="1" si="9"/>
        <v>50.674946917366682</v>
      </c>
    </row>
    <row r="158" spans="1:8" ht="15" thickBot="1" x14ac:dyDescent="0.35">
      <c r="A158" s="59">
        <v>45261</v>
      </c>
      <c r="B158" s="192">
        <f t="shared" si="10"/>
        <v>7.0535432395959967</v>
      </c>
      <c r="C158" s="192">
        <f t="shared" si="11"/>
        <v>5.2698969899925139</v>
      </c>
      <c r="D158" s="267">
        <f>MonthlyWorksheet!G157</f>
        <v>10.82991116974736</v>
      </c>
      <c r="E158" s="258">
        <f>MonthlyWorksheet!O157</f>
        <v>76.389246716796663</v>
      </c>
      <c r="F158" s="258">
        <f>MonthlyWorksheet!S157</f>
        <v>57.072516275337918</v>
      </c>
      <c r="G158" s="268">
        <f t="shared" ca="1" si="8"/>
        <v>76.389246716796663</v>
      </c>
      <c r="H158" s="259">
        <f t="shared" ca="1" si="9"/>
        <v>57.072516275337918</v>
      </c>
    </row>
    <row r="159" spans="1:8" ht="15" thickBot="1" x14ac:dyDescent="0.35">
      <c r="A159" s="59">
        <v>45292</v>
      </c>
      <c r="B159" s="192">
        <f t="shared" si="10"/>
        <v>9.343723891809379</v>
      </c>
      <c r="C159" s="192">
        <f t="shared" si="11"/>
        <v>6.8205023419522384</v>
      </c>
      <c r="D159" s="267">
        <f>MonthlyWorksheet!G158</f>
        <v>11.707556365597679</v>
      </c>
      <c r="E159" s="258">
        <f>MonthlyWorksheet!O158</f>
        <v>109.39217412794001</v>
      </c>
      <c r="F159" s="258">
        <f>MonthlyWorksheet!S158</f>
        <v>79.851415610096808</v>
      </c>
      <c r="G159" s="268">
        <f t="shared" ca="1" si="8"/>
        <v>109.39217412794001</v>
      </c>
      <c r="H159" s="259">
        <f t="shared" ca="1" si="9"/>
        <v>79.851415610096808</v>
      </c>
    </row>
    <row r="160" spans="1:8" ht="15" thickBot="1" x14ac:dyDescent="0.35">
      <c r="A160" s="59">
        <v>45323</v>
      </c>
      <c r="B160" s="192">
        <f t="shared" si="10"/>
        <v>8.8969906413947957</v>
      </c>
      <c r="C160" s="192">
        <f t="shared" si="11"/>
        <v>5.7252676665604962</v>
      </c>
      <c r="D160" s="267">
        <f>MonthlyWorksheet!G159</f>
        <v>11.632907190820584</v>
      </c>
      <c r="E160" s="258">
        <f>MonthlyWorksheet!O159</f>
        <v>103.49786640894496</v>
      </c>
      <c r="F160" s="258">
        <f>MonthlyWorksheet!S159</f>
        <v>66.601507407704176</v>
      </c>
      <c r="G160" s="268">
        <f t="shared" ca="1" si="8"/>
        <v>103.49786640894496</v>
      </c>
      <c r="H160" s="259">
        <f t="shared" ca="1" si="9"/>
        <v>66.601507407704176</v>
      </c>
    </row>
    <row r="161" spans="1:8" ht="15" thickBot="1" x14ac:dyDescent="0.35">
      <c r="A161" s="59">
        <v>45352</v>
      </c>
      <c r="B161" s="192">
        <f t="shared" si="10"/>
        <v>8.1937464522200365</v>
      </c>
      <c r="C161" s="192">
        <f t="shared" si="11"/>
        <v>5.0803789265541113</v>
      </c>
      <c r="D161" s="267">
        <f>MonthlyWorksheet!G160</f>
        <v>11.506577818120901</v>
      </c>
      <c r="E161" s="258">
        <f>MonthlyWorksheet!O160</f>
        <v>94.281981174421901</v>
      </c>
      <c r="F161" s="258">
        <f>MonthlyWorksheet!S160</f>
        <v>58.457775463936407</v>
      </c>
      <c r="G161" s="268">
        <f t="shared" ca="1" si="8"/>
        <v>94.281981174421901</v>
      </c>
      <c r="H161" s="259">
        <f t="shared" ca="1" si="9"/>
        <v>58.457775463936407</v>
      </c>
    </row>
    <row r="162" spans="1:8" ht="15" thickBot="1" x14ac:dyDescent="0.35">
      <c r="A162" s="59">
        <v>45383</v>
      </c>
      <c r="B162" s="192">
        <f t="shared" si="10"/>
        <v>8.2746789981176718</v>
      </c>
      <c r="C162" s="192">
        <f t="shared" si="11"/>
        <v>4.7223007131365344</v>
      </c>
      <c r="D162" s="267">
        <f>MonthlyWorksheet!G161</f>
        <v>11.041456036817495</v>
      </c>
      <c r="E162" s="258">
        <f>MonthlyWorksheet!O161</f>
        <v>91.364504376493315</v>
      </c>
      <c r="F162" s="258">
        <f>MonthlyWorksheet!S161</f>
        <v>52.141075716728949</v>
      </c>
      <c r="G162" s="268">
        <f t="shared" ca="1" si="8"/>
        <v>91.364504376493315</v>
      </c>
      <c r="H162" s="259">
        <f t="shared" ca="1" si="9"/>
        <v>52.141075716728949</v>
      </c>
    </row>
    <row r="163" spans="1:8" ht="15" thickBot="1" x14ac:dyDescent="0.35">
      <c r="A163" s="59">
        <v>45413</v>
      </c>
      <c r="B163" s="192">
        <f t="shared" si="10"/>
        <v>6.8640287136208658</v>
      </c>
      <c r="C163" s="192">
        <f t="shared" si="11"/>
        <v>3.2443735857022369</v>
      </c>
      <c r="D163" s="267">
        <f>MonthlyWorksheet!G162</f>
        <v>10.943837885185918</v>
      </c>
      <c r="E163" s="258">
        <f>MonthlyWorksheet!O162</f>
        <v>75.118817481127991</v>
      </c>
      <c r="F163" s="258">
        <f>MonthlyWorksheet!S162</f>
        <v>35.505898560904619</v>
      </c>
      <c r="G163" s="268">
        <f t="shared" ca="1" si="8"/>
        <v>75.118817481127991</v>
      </c>
      <c r="H163" s="259">
        <f t="shared" ca="1" si="9"/>
        <v>35.505898560904619</v>
      </c>
    </row>
    <row r="164" spans="1:8" ht="15" thickBot="1" x14ac:dyDescent="0.35">
      <c r="A164" s="59">
        <v>45444</v>
      </c>
      <c r="B164" s="192">
        <f t="shared" si="10"/>
        <v>5.9425283155376993</v>
      </c>
      <c r="C164" s="192">
        <f t="shared" si="11"/>
        <v>4.3847333490985561</v>
      </c>
      <c r="D164" s="267">
        <f>MonthlyWorksheet!G163</f>
        <v>10.92661115254505</v>
      </c>
      <c r="E164" s="258">
        <f>MonthlyWorksheet!O163</f>
        <v>64.931696166868974</v>
      </c>
      <c r="F164" s="258">
        <f>MonthlyWorksheet!S163</f>
        <v>47.910276313196491</v>
      </c>
      <c r="G164" s="268">
        <f t="shared" ca="1" si="8"/>
        <v>64.931696166868974</v>
      </c>
      <c r="H164" s="259">
        <f t="shared" ca="1" si="9"/>
        <v>47.910276313196491</v>
      </c>
    </row>
    <row r="165" spans="1:8" ht="15" thickBot="1" x14ac:dyDescent="0.35">
      <c r="A165" s="59">
        <v>45474</v>
      </c>
      <c r="B165" s="192">
        <f t="shared" si="10"/>
        <v>9.3459925645842734</v>
      </c>
      <c r="C165" s="192">
        <f t="shared" si="11"/>
        <v>5.6335518410882459</v>
      </c>
      <c r="D165" s="267">
        <f>MonthlyWorksheet!G164</f>
        <v>10.961064617826787</v>
      </c>
      <c r="E165" s="258">
        <f>MonthlyWorksheet!O164</f>
        <v>102.44202841813691</v>
      </c>
      <c r="F165" s="258">
        <f>MonthlyWorksheet!S164</f>
        <v>61.749725758045329</v>
      </c>
      <c r="G165" s="268">
        <f t="shared" ca="1" si="8"/>
        <v>102.44202841813691</v>
      </c>
      <c r="H165" s="259">
        <f t="shared" ca="1" si="9"/>
        <v>61.749725758045329</v>
      </c>
    </row>
    <row r="166" spans="1:8" ht="15" thickBot="1" x14ac:dyDescent="0.35">
      <c r="A166" s="59">
        <v>45505</v>
      </c>
      <c r="B166" s="192">
        <f t="shared" si="10"/>
        <v>10.907091400010314</v>
      </c>
      <c r="C166" s="192">
        <f t="shared" si="11"/>
        <v>5.8633753864942424</v>
      </c>
      <c r="D166" s="267">
        <f>MonthlyWorksheet!G165</f>
        <v>10.989775838894897</v>
      </c>
      <c r="E166" s="258">
        <f>MonthlyWorksheet!O165</f>
        <v>119.86648954045167</v>
      </c>
      <c r="F166" s="258">
        <f>MonthlyWorksheet!S165</f>
        <v>64.437181156865449</v>
      </c>
      <c r="G166" s="268">
        <f t="shared" ca="1" si="8"/>
        <v>119.86648954045167</v>
      </c>
      <c r="H166" s="259">
        <f t="shared" ca="1" si="9"/>
        <v>64.437181156865449</v>
      </c>
    </row>
    <row r="167" spans="1:8" ht="15" thickBot="1" x14ac:dyDescent="0.35">
      <c r="A167" s="59">
        <v>45536</v>
      </c>
      <c r="B167" s="192">
        <f t="shared" si="10"/>
        <v>8.3193558002295678</v>
      </c>
      <c r="C167" s="192">
        <f t="shared" si="11"/>
        <v>5.1271290953191491</v>
      </c>
      <c r="D167" s="267">
        <f>MonthlyWorksheet!G166</f>
        <v>11.093136234740097</v>
      </c>
      <c r="E167" s="258">
        <f>MonthlyWorksheet!O166</f>
        <v>92.287747277221811</v>
      </c>
      <c r="F167" s="258">
        <f>MonthlyWorksheet!S166</f>
        <v>56.875941547475065</v>
      </c>
      <c r="G167" s="268">
        <f t="shared" ca="1" si="8"/>
        <v>92.287747277221811</v>
      </c>
      <c r="H167" s="259">
        <f t="shared" ca="1" si="9"/>
        <v>56.875941547475065</v>
      </c>
    </row>
    <row r="168" spans="1:8" ht="15" thickBot="1" x14ac:dyDescent="0.35">
      <c r="A168" s="59">
        <v>45566</v>
      </c>
      <c r="B168" s="192">
        <f t="shared" si="10"/>
        <v>9.0650503761597143</v>
      </c>
      <c r="C168" s="192">
        <f t="shared" si="11"/>
        <v>5.3718609197999285</v>
      </c>
      <c r="D168" s="267">
        <f>MonthlyWorksheet!G167</f>
        <v>10.890399686915192</v>
      </c>
      <c r="E168" s="258">
        <f>MonthlyWorksheet!O167</f>
        <v>98.72202177840019</v>
      </c>
      <c r="F168" s="258">
        <f>MonthlyWorksheet!S167</f>
        <v>58.501712479141098</v>
      </c>
      <c r="G168" s="268">
        <f t="shared" ca="1" si="8"/>
        <v>98.72202177840019</v>
      </c>
      <c r="H168" s="259">
        <f t="shared" ca="1" si="9"/>
        <v>58.501712479141098</v>
      </c>
    </row>
    <row r="169" spans="1:8" ht="15" thickBot="1" x14ac:dyDescent="0.35">
      <c r="A169" s="59">
        <v>45597</v>
      </c>
      <c r="B169" s="192">
        <f t="shared" si="10"/>
        <v>8.1475671112600043</v>
      </c>
      <c r="C169" s="192">
        <f t="shared" si="11"/>
        <v>4.8470337681523326</v>
      </c>
      <c r="D169" s="267">
        <f>MonthlyWorksheet!G168</f>
        <v>11.414368625727858</v>
      </c>
      <c r="E169" s="258">
        <f>MonthlyWorksheet!O168</f>
        <v>92.99933441077836</v>
      </c>
      <c r="F169" s="258">
        <f>MonthlyWorksheet!S168</f>
        <v>55.325830171041467</v>
      </c>
      <c r="G169" s="268">
        <f t="shared" ca="1" si="8"/>
        <v>92.99933441077836</v>
      </c>
      <c r="H169" s="259">
        <f t="shared" ca="1" si="9"/>
        <v>55.325830171041467</v>
      </c>
    </row>
    <row r="170" spans="1:8" ht="15" thickBot="1" x14ac:dyDescent="0.35">
      <c r="A170" s="59">
        <v>45627</v>
      </c>
      <c r="B170" s="192">
        <f t="shared" si="10"/>
        <v>7.0535432395959967</v>
      </c>
      <c r="C170" s="192">
        <f t="shared" si="11"/>
        <v>5.2698969899925139</v>
      </c>
      <c r="D170" s="267">
        <f>MonthlyWorksheet!G169</f>
        <v>11.823866872953074</v>
      </c>
      <c r="E170" s="258">
        <f>MonthlyWorksheet!O169</f>
        <v>83.400156247601217</v>
      </c>
      <c r="F170" s="258">
        <f>MonthlyWorksheet!S169</f>
        <v>62.310560443847599</v>
      </c>
      <c r="G170" s="268">
        <f t="shared" ca="1" si="8"/>
        <v>83.400156247601217</v>
      </c>
      <c r="H170" s="259">
        <f t="shared" ca="1" si="9"/>
        <v>62.310560443847599</v>
      </c>
    </row>
    <row r="171" spans="1:8" ht="15" thickBot="1" x14ac:dyDescent="0.35">
      <c r="A171" s="59">
        <v>45658</v>
      </c>
      <c r="B171" s="192">
        <f t="shared" si="10"/>
        <v>9.343723891809379</v>
      </c>
      <c r="C171" s="192">
        <f t="shared" si="11"/>
        <v>6.8205023419522393</v>
      </c>
      <c r="D171" s="267">
        <f>MonthlyWorksheet!G170</f>
        <v>12.782061247290041</v>
      </c>
      <c r="E171" s="258">
        <f>MonthlyWorksheet!O170</f>
        <v>119.43205106287475</v>
      </c>
      <c r="F171" s="258">
        <f>MonthlyWorksheet!S170</f>
        <v>87.180078672118682</v>
      </c>
      <c r="G171" s="268">
        <f t="shared" ca="1" si="8"/>
        <v>119.43205106287475</v>
      </c>
      <c r="H171" s="259">
        <f t="shared" ca="1" si="9"/>
        <v>87.180078672118682</v>
      </c>
    </row>
    <row r="172" spans="1:8" ht="15" thickBot="1" x14ac:dyDescent="0.35">
      <c r="A172" s="59">
        <v>45689</v>
      </c>
      <c r="B172" s="192">
        <f t="shared" si="10"/>
        <v>8.8969906413947957</v>
      </c>
      <c r="C172" s="192">
        <f t="shared" si="11"/>
        <v>5.7252676665604962</v>
      </c>
      <c r="D172" s="267">
        <f>MonthlyWorksheet!G171</f>
        <v>12.700560864608624</v>
      </c>
      <c r="E172" s="258">
        <f>MonthlyWorksheet!O171</f>
        <v>112.99677115288792</v>
      </c>
      <c r="F172" s="258">
        <f>MonthlyWorksheet!S171</f>
        <v>72.71411046532738</v>
      </c>
      <c r="G172" s="268">
        <f t="shared" ca="1" si="8"/>
        <v>112.99677115288792</v>
      </c>
      <c r="H172" s="259">
        <f t="shared" ca="1" si="9"/>
        <v>72.71411046532738</v>
      </c>
    </row>
    <row r="173" spans="1:8" ht="15" thickBot="1" x14ac:dyDescent="0.35">
      <c r="A173" s="59">
        <v>45717</v>
      </c>
      <c r="B173" s="192">
        <f t="shared" si="10"/>
        <v>8.1937464522200365</v>
      </c>
      <c r="C173" s="192">
        <f t="shared" si="11"/>
        <v>5.0803789265541113</v>
      </c>
      <c r="D173" s="267">
        <f>MonthlyWorksheet!G172</f>
        <v>12.562637140070857</v>
      </c>
      <c r="E173" s="258">
        <f>MonthlyWorksheet!O172</f>
        <v>102.93506349698325</v>
      </c>
      <c r="F173" s="258">
        <f>MonthlyWorksheet!S172</f>
        <v>63.822956988361987</v>
      </c>
      <c r="G173" s="268">
        <f t="shared" ca="1" si="8"/>
        <v>102.93506349698325</v>
      </c>
      <c r="H173" s="259">
        <f t="shared" ca="1" si="9"/>
        <v>63.822956988361987</v>
      </c>
    </row>
    <row r="174" spans="1:8" ht="15" thickBot="1" x14ac:dyDescent="0.35">
      <c r="A174" s="59">
        <v>45748</v>
      </c>
      <c r="B174" s="192">
        <f t="shared" si="10"/>
        <v>8.2746789981176718</v>
      </c>
      <c r="C174" s="192">
        <f t="shared" si="11"/>
        <v>4.7223007131365344</v>
      </c>
      <c r="D174" s="267">
        <f>MonthlyWorksheet!G173</f>
        <v>12.054827063363593</v>
      </c>
      <c r="E174" s="258">
        <f>MonthlyWorksheet!O173</f>
        <v>99.749824327155252</v>
      </c>
      <c r="F174" s="258">
        <f>MonthlyWorksheet!S173</f>
        <v>56.926518438059489</v>
      </c>
      <c r="G174" s="268">
        <f t="shared" ca="1" si="8"/>
        <v>99.749824327155252</v>
      </c>
      <c r="H174" s="259">
        <f t="shared" ca="1" si="9"/>
        <v>56.926518438059489</v>
      </c>
    </row>
    <row r="175" spans="1:8" ht="15" thickBot="1" x14ac:dyDescent="0.35">
      <c r="A175" s="59">
        <v>45778</v>
      </c>
      <c r="B175" s="192">
        <f t="shared" si="10"/>
        <v>6.8640287136208666</v>
      </c>
      <c r="C175" s="192">
        <f t="shared" si="11"/>
        <v>3.2443735857022369</v>
      </c>
      <c r="D175" s="267">
        <f>MonthlyWorksheet!G174</f>
        <v>11.94824963985713</v>
      </c>
      <c r="E175" s="258">
        <f>MonthlyWorksheet!O174</f>
        <v>82.013128605489513</v>
      </c>
      <c r="F175" s="258">
        <f>MonthlyWorksheet!S174</f>
        <v>38.764585526928734</v>
      </c>
      <c r="G175" s="268">
        <f t="shared" ca="1" si="8"/>
        <v>82.013128605489513</v>
      </c>
      <c r="H175" s="259">
        <f t="shared" ca="1" si="9"/>
        <v>38.764585526928734</v>
      </c>
    </row>
    <row r="176" spans="1:8" ht="15" thickBot="1" x14ac:dyDescent="0.35">
      <c r="A176" s="59">
        <v>45809</v>
      </c>
      <c r="B176" s="192">
        <f t="shared" si="10"/>
        <v>5.9425283155376993</v>
      </c>
      <c r="C176" s="192">
        <f t="shared" si="11"/>
        <v>4.3847333490985561</v>
      </c>
      <c r="D176" s="267">
        <f>MonthlyWorksheet!G175</f>
        <v>11.929441859238343</v>
      </c>
      <c r="E176" s="258">
        <f>MonthlyWorksheet!O175</f>
        <v>70.89104603708455</v>
      </c>
      <c r="F176" s="258">
        <f>MonthlyWorksheet!S175</f>
        <v>52.307421556334646</v>
      </c>
      <c r="G176" s="268">
        <f t="shared" ca="1" si="8"/>
        <v>70.89104603708455</v>
      </c>
      <c r="H176" s="259">
        <f t="shared" ca="1" si="9"/>
        <v>52.307421556334646</v>
      </c>
    </row>
    <row r="177" spans="1:8" ht="15" thickBot="1" x14ac:dyDescent="0.35">
      <c r="A177" s="59">
        <v>45839</v>
      </c>
      <c r="B177" s="192">
        <f t="shared" si="10"/>
        <v>9.3459925645842734</v>
      </c>
      <c r="C177" s="192">
        <f t="shared" si="11"/>
        <v>5.6335518410882459</v>
      </c>
      <c r="D177" s="267">
        <f>MonthlyWorksheet!G176</f>
        <v>11.967057420475921</v>
      </c>
      <c r="E177" s="258">
        <f>MonthlyWorksheet!O176</f>
        <v>111.84402967172102</v>
      </c>
      <c r="F177" s="258">
        <f>MonthlyWorksheet!S176</f>
        <v>67.417038363530878</v>
      </c>
      <c r="G177" s="268">
        <f t="shared" ca="1" si="8"/>
        <v>111.84402967172102</v>
      </c>
      <c r="H177" s="259">
        <f t="shared" ca="1" si="9"/>
        <v>67.417038363530878</v>
      </c>
    </row>
    <row r="178" spans="1:8" ht="15" thickBot="1" x14ac:dyDescent="0.35">
      <c r="A178" s="59">
        <v>45870</v>
      </c>
      <c r="B178" s="192">
        <f t="shared" si="10"/>
        <v>10.907091400010314</v>
      </c>
      <c r="C178" s="192">
        <f t="shared" si="11"/>
        <v>5.8633753864942424</v>
      </c>
      <c r="D178" s="267">
        <f>MonthlyWorksheet!G177</f>
        <v>11.998403721507232</v>
      </c>
      <c r="E178" s="258">
        <f>MonthlyWorksheet!O177</f>
        <v>130.86768604470328</v>
      </c>
      <c r="F178" s="258">
        <f>MonthlyWorksheet!S177</f>
        <v>70.351145057906422</v>
      </c>
      <c r="G178" s="268">
        <f t="shared" ca="1" si="8"/>
        <v>130.86768604470328</v>
      </c>
      <c r="H178" s="259">
        <f t="shared" ca="1" si="9"/>
        <v>70.351145057906422</v>
      </c>
    </row>
    <row r="179" spans="1:8" ht="15" thickBot="1" x14ac:dyDescent="0.35">
      <c r="A179" s="59">
        <v>45901</v>
      </c>
      <c r="B179" s="192">
        <f t="shared" si="10"/>
        <v>8.3193558002295678</v>
      </c>
      <c r="C179" s="192">
        <f t="shared" si="11"/>
        <v>5.1271290953191491</v>
      </c>
      <c r="D179" s="267">
        <f>MonthlyWorksheet!G178</f>
        <v>12.111250405219955</v>
      </c>
      <c r="E179" s="258">
        <f>MonthlyWorksheet!O178</f>
        <v>100.75780130669933</v>
      </c>
      <c r="F179" s="258">
        <f>MonthlyWorksheet!S178</f>
        <v>62.095944333299066</v>
      </c>
      <c r="G179" s="268">
        <f t="shared" ca="1" si="8"/>
        <v>100.75780130669933</v>
      </c>
      <c r="H179" s="259">
        <f t="shared" ca="1" si="9"/>
        <v>62.095944333299066</v>
      </c>
    </row>
    <row r="180" spans="1:8" ht="15" thickBot="1" x14ac:dyDescent="0.35">
      <c r="A180" s="59">
        <v>45931</v>
      </c>
      <c r="B180" s="192">
        <f t="shared" si="10"/>
        <v>9.0650503761597143</v>
      </c>
      <c r="C180" s="192">
        <f t="shared" si="11"/>
        <v>5.3718609197999285</v>
      </c>
      <c r="D180" s="267">
        <f>MonthlyWorksheet!G179</f>
        <v>11.889906950579258</v>
      </c>
      <c r="E180" s="258">
        <f>MonthlyWorksheet!O179</f>
        <v>107.7826054748525</v>
      </c>
      <c r="F180" s="258">
        <f>MonthlyWorksheet!S179</f>
        <v>63.870926487874257</v>
      </c>
      <c r="G180" s="268">
        <f t="shared" ca="1" si="8"/>
        <v>107.7826054748525</v>
      </c>
      <c r="H180" s="259">
        <f t="shared" ca="1" si="9"/>
        <v>63.870926487874257</v>
      </c>
    </row>
    <row r="181" spans="1:8" ht="15" thickBot="1" x14ac:dyDescent="0.35">
      <c r="A181" s="59">
        <v>45962</v>
      </c>
      <c r="B181" s="192">
        <f t="shared" si="10"/>
        <v>8.1475671112600043</v>
      </c>
      <c r="C181" s="192">
        <f t="shared" si="11"/>
        <v>4.8470337681523326</v>
      </c>
      <c r="D181" s="267">
        <f>MonthlyWorksheet!G180</f>
        <v>12.461965103317365</v>
      </c>
      <c r="E181" s="258">
        <f>MonthlyWorksheet!O180</f>
        <v>101.53469701745844</v>
      </c>
      <c r="F181" s="258">
        <f>MonthlyWorksheet!S180</f>
        <v>60.403565673315235</v>
      </c>
      <c r="G181" s="268">
        <f t="shared" ca="1" si="8"/>
        <v>101.53469701745844</v>
      </c>
      <c r="H181" s="259">
        <f t="shared" ca="1" si="9"/>
        <v>60.403565673315235</v>
      </c>
    </row>
    <row r="182" spans="1:8" ht="15" thickBot="1" x14ac:dyDescent="0.35">
      <c r="A182" s="59">
        <v>45992</v>
      </c>
      <c r="B182" s="192">
        <f t="shared" si="10"/>
        <v>7.0535432395959967</v>
      </c>
      <c r="C182" s="192">
        <f t="shared" si="11"/>
        <v>5.2698969899925139</v>
      </c>
      <c r="D182" s="267">
        <f>MonthlyWorksheet!G181</f>
        <v>12.909046587551879</v>
      </c>
      <c r="E182" s="258">
        <f>MonthlyWorksheet!O181</f>
        <v>91.054518287256329</v>
      </c>
      <c r="F182" s="258">
        <f>MonthlyWorksheet!S181</f>
        <v>68.029345755412777</v>
      </c>
      <c r="G182" s="268">
        <f t="shared" ca="1" si="8"/>
        <v>91.054518287256329</v>
      </c>
      <c r="H182" s="259">
        <f t="shared" ca="1" si="9"/>
        <v>68.029345755412777</v>
      </c>
    </row>
    <row r="183" spans="1:8" ht="15" thickBot="1" x14ac:dyDescent="0.35">
      <c r="A183" s="59">
        <v>46023</v>
      </c>
      <c r="B183" s="192">
        <f t="shared" si="10"/>
        <v>9.343723891809379</v>
      </c>
      <c r="C183" s="192">
        <f t="shared" si="11"/>
        <v>6.8205023419522393</v>
      </c>
      <c r="D183" s="267">
        <f>MonthlyWorksheet!G182</f>
        <v>13.955182843241701</v>
      </c>
      <c r="E183" s="258">
        <f>MonthlyWorksheet!O182</f>
        <v>130.39337534696583</v>
      </c>
      <c r="F183" s="258">
        <f>MonthlyWorksheet!S182</f>
        <v>95.181357264701731</v>
      </c>
      <c r="G183" s="268">
        <f t="shared" ca="1" si="8"/>
        <v>130.39337534696583</v>
      </c>
      <c r="H183" s="259">
        <f t="shared" ca="1" si="9"/>
        <v>95.181357264701731</v>
      </c>
    </row>
    <row r="184" spans="1:8" ht="15" thickBot="1" x14ac:dyDescent="0.35">
      <c r="A184" s="59">
        <v>46054</v>
      </c>
      <c r="B184" s="192">
        <f t="shared" si="10"/>
        <v>8.8969906413947957</v>
      </c>
      <c r="C184" s="192">
        <f t="shared" si="11"/>
        <v>5.7252676665604962</v>
      </c>
      <c r="D184" s="267">
        <f>MonthlyWorksheet!G183</f>
        <v>13.866202457362665</v>
      </c>
      <c r="E184" s="258">
        <f>MonthlyWorksheet!O183</f>
        <v>123.36747349484115</v>
      </c>
      <c r="F184" s="258">
        <f>MonthlyWorksheet!S183</f>
        <v>79.387720587120157</v>
      </c>
      <c r="G184" s="268">
        <f t="shared" ca="1" si="8"/>
        <v>123.36747349484115</v>
      </c>
      <c r="H184" s="259">
        <f t="shared" ca="1" si="9"/>
        <v>79.387720587120157</v>
      </c>
    </row>
    <row r="185" spans="1:8" ht="15" thickBot="1" x14ac:dyDescent="0.35">
      <c r="A185" s="59">
        <v>46082</v>
      </c>
      <c r="B185" s="192">
        <f t="shared" si="10"/>
        <v>8.1937464522200365</v>
      </c>
      <c r="C185" s="192">
        <f t="shared" si="11"/>
        <v>5.0803789265541113</v>
      </c>
      <c r="D185" s="267">
        <f>MonthlyWorksheet!G184</f>
        <v>13.715620265875081</v>
      </c>
      <c r="E185" s="258">
        <f>MonthlyWorksheet!O184</f>
        <v>112.38231489351118</v>
      </c>
      <c r="F185" s="258">
        <f>MonthlyWorksheet!S184</f>
        <v>69.680548163370261</v>
      </c>
      <c r="G185" s="268">
        <f t="shared" ca="1" si="8"/>
        <v>112.38231489351118</v>
      </c>
      <c r="H185" s="259">
        <f t="shared" ca="1" si="9"/>
        <v>69.680548163370261</v>
      </c>
    </row>
    <row r="186" spans="1:8" ht="15" thickBot="1" x14ac:dyDescent="0.35">
      <c r="A186" s="59">
        <v>46113</v>
      </c>
      <c r="B186" s="192">
        <f t="shared" si="10"/>
        <v>8.2746789981176718</v>
      </c>
      <c r="C186" s="192">
        <f t="shared" si="11"/>
        <v>4.7223007131365344</v>
      </c>
      <c r="D186" s="267">
        <f>MonthlyWorksheet!G185</f>
        <v>13.161204015398038</v>
      </c>
      <c r="E186" s="258">
        <f>MonthlyWorksheet!O185</f>
        <v>108.90473845615611</v>
      </c>
      <c r="F186" s="258">
        <f>MonthlyWorksheet!S185</f>
        <v>62.151163107649573</v>
      </c>
      <c r="G186" s="268">
        <f t="shared" ca="1" si="8"/>
        <v>108.90473845615611</v>
      </c>
      <c r="H186" s="259">
        <f t="shared" ca="1" si="9"/>
        <v>62.151163107649573</v>
      </c>
    </row>
    <row r="187" spans="1:8" ht="15" thickBot="1" x14ac:dyDescent="0.35">
      <c r="A187" s="59">
        <v>46143</v>
      </c>
      <c r="B187" s="192">
        <f t="shared" si="10"/>
        <v>6.8640287136208658</v>
      </c>
      <c r="C187" s="192">
        <f t="shared" si="11"/>
        <v>3.2443735857022364</v>
      </c>
      <c r="D187" s="267">
        <f>MonthlyWorksheet!G186</f>
        <v>13.044845049248535</v>
      </c>
      <c r="E187" s="258">
        <f>MonthlyWorksheet!O186</f>
        <v>89.540190982776934</v>
      </c>
      <c r="F187" s="258">
        <f>MonthlyWorksheet!S186</f>
        <v>42.322350707360535</v>
      </c>
      <c r="G187" s="268">
        <f t="shared" ca="1" si="8"/>
        <v>89.540190982776934</v>
      </c>
      <c r="H187" s="259">
        <f t="shared" ca="1" si="9"/>
        <v>42.322350707360535</v>
      </c>
    </row>
    <row r="188" spans="1:8" ht="15" thickBot="1" x14ac:dyDescent="0.35">
      <c r="A188" s="59">
        <v>46174</v>
      </c>
      <c r="B188" s="192">
        <f t="shared" si="10"/>
        <v>5.9425283155376993</v>
      </c>
      <c r="C188" s="192">
        <f t="shared" si="11"/>
        <v>4.3847333490985561</v>
      </c>
      <c r="D188" s="267">
        <f>MonthlyWorksheet!G187</f>
        <v>13.024311114045682</v>
      </c>
      <c r="E188" s="258">
        <f>MonthlyWorksheet!O187</f>
        <v>77.397337585588829</v>
      </c>
      <c r="F188" s="258">
        <f>MonthlyWorksheet!S187</f>
        <v>57.108131290791071</v>
      </c>
      <c r="G188" s="268">
        <f t="shared" ca="1" si="8"/>
        <v>77.397337585588829</v>
      </c>
      <c r="H188" s="259">
        <f t="shared" ca="1" si="9"/>
        <v>57.108131290791071</v>
      </c>
    </row>
    <row r="189" spans="1:8" ht="15" thickBot="1" x14ac:dyDescent="0.35">
      <c r="A189" s="59">
        <v>46204</v>
      </c>
      <c r="B189" s="192">
        <f t="shared" si="10"/>
        <v>9.3459925645842734</v>
      </c>
      <c r="C189" s="192">
        <f t="shared" si="11"/>
        <v>5.633551841088245</v>
      </c>
      <c r="D189" s="267">
        <f>MonthlyWorksheet!G188</f>
        <v>13.065378984451392</v>
      </c>
      <c r="E189" s="258">
        <f>MonthlyWorksheet!O188</f>
        <v>122.10893484215833</v>
      </c>
      <c r="F189" s="258">
        <f>MonthlyWorksheet!S188</f>
        <v>73.604489832371812</v>
      </c>
      <c r="G189" s="268">
        <f t="shared" ca="1" si="8"/>
        <v>122.10893484215833</v>
      </c>
      <c r="H189" s="259">
        <f t="shared" ca="1" si="9"/>
        <v>73.604489832371812</v>
      </c>
    </row>
    <row r="190" spans="1:8" ht="15" thickBot="1" x14ac:dyDescent="0.35">
      <c r="A190" s="59">
        <v>46235</v>
      </c>
      <c r="B190" s="192">
        <f t="shared" si="10"/>
        <v>10.907091400010314</v>
      </c>
      <c r="C190" s="192">
        <f t="shared" si="11"/>
        <v>5.8633753864942424</v>
      </c>
      <c r="D190" s="267">
        <f>MonthlyWorksheet!G189</f>
        <v>13.099602209789479</v>
      </c>
      <c r="E190" s="258">
        <f>MonthlyWorksheet!O189</f>
        <v>142.87855860595093</v>
      </c>
      <c r="F190" s="258">
        <f>MonthlyWorksheet!S189</f>
        <v>76.807885169745219</v>
      </c>
      <c r="G190" s="268">
        <f t="shared" ca="1" si="8"/>
        <v>142.87855860595093</v>
      </c>
      <c r="H190" s="259">
        <f t="shared" ca="1" si="9"/>
        <v>76.807885169745219</v>
      </c>
    </row>
    <row r="191" spans="1:8" ht="15" thickBot="1" x14ac:dyDescent="0.35">
      <c r="A191" s="59">
        <v>46266</v>
      </c>
      <c r="B191" s="192">
        <f t="shared" si="10"/>
        <v>8.3193558002295678</v>
      </c>
      <c r="C191" s="192">
        <f t="shared" si="11"/>
        <v>5.1271290953191491</v>
      </c>
      <c r="D191" s="267">
        <f>MonthlyWorksheet!G190</f>
        <v>13.222805821006597</v>
      </c>
      <c r="E191" s="258">
        <f>MonthlyWorksheet!O190</f>
        <v>110.00522630230053</v>
      </c>
      <c r="F191" s="258">
        <f>MonthlyWorksheet!S190</f>
        <v>67.795032446638331</v>
      </c>
      <c r="G191" s="268">
        <f t="shared" ca="1" si="8"/>
        <v>110.00522630230053</v>
      </c>
      <c r="H191" s="259">
        <f t="shared" ca="1" si="9"/>
        <v>67.795032446638331</v>
      </c>
    </row>
    <row r="192" spans="1:8" ht="15" thickBot="1" x14ac:dyDescent="0.35">
      <c r="A192" s="59">
        <v>46296</v>
      </c>
      <c r="B192" s="192">
        <f t="shared" si="10"/>
        <v>9.0650503761597143</v>
      </c>
      <c r="C192" s="192">
        <f t="shared" si="11"/>
        <v>5.3718609197999276</v>
      </c>
      <c r="D192" s="267">
        <f>MonthlyWorksheet!G191</f>
        <v>12.981147740912467</v>
      </c>
      <c r="E192" s="258">
        <f>MonthlyWorksheet!O191</f>
        <v>117.6747582117434</v>
      </c>
      <c r="F192" s="258">
        <f>MonthlyWorksheet!S191</f>
        <v>69.732920243556805</v>
      </c>
      <c r="G192" s="268">
        <f t="shared" ca="1" si="8"/>
        <v>117.6747582117434</v>
      </c>
      <c r="H192" s="259">
        <f t="shared" ca="1" si="9"/>
        <v>69.732920243556805</v>
      </c>
    </row>
    <row r="193" spans="1:8" ht="15" thickBot="1" x14ac:dyDescent="0.35">
      <c r="A193" s="59">
        <v>46327</v>
      </c>
      <c r="B193" s="192">
        <f t="shared" si="10"/>
        <v>8.1475671112600043</v>
      </c>
      <c r="C193" s="192">
        <f t="shared" si="11"/>
        <v>4.8470337681523326</v>
      </c>
      <c r="D193" s="267">
        <f>MonthlyWorksheet!G192</f>
        <v>13.605708675489424</v>
      </c>
      <c r="E193" s="258">
        <f>MonthlyWorksheet!O192</f>
        <v>110.85342452980255</v>
      </c>
      <c r="F193" s="258">
        <f>MonthlyWorksheet!S192</f>
        <v>65.947329389740389</v>
      </c>
      <c r="G193" s="268">
        <f t="shared" ca="1" si="8"/>
        <v>110.85342452980255</v>
      </c>
      <c r="H193" s="259">
        <f t="shared" ca="1" si="9"/>
        <v>65.947329389740389</v>
      </c>
    </row>
    <row r="194" spans="1:8" ht="15" thickBot="1" x14ac:dyDescent="0.35">
      <c r="A194" s="59">
        <v>46357</v>
      </c>
      <c r="B194" s="192">
        <f t="shared" si="10"/>
        <v>7.0535432395959967</v>
      </c>
      <c r="C194" s="192">
        <f t="shared" si="11"/>
        <v>5.2698969899925139</v>
      </c>
      <c r="D194" s="267">
        <f>MonthlyWorksheet!G193</f>
        <v>14.09382273922412</v>
      </c>
      <c r="E194" s="258">
        <f>MonthlyWorksheet!O193</f>
        <v>99.411388102318625</v>
      </c>
      <c r="F194" s="258">
        <f>MonthlyWorksheet!S193</f>
        <v>74.272994030925233</v>
      </c>
      <c r="G194" s="268">
        <f t="shared" ca="1" si="8"/>
        <v>99.411388102318625</v>
      </c>
      <c r="H194" s="259">
        <f t="shared" ca="1" si="9"/>
        <v>74.272994030925233</v>
      </c>
    </row>
    <row r="195" spans="1:8" ht="15" thickBot="1" x14ac:dyDescent="0.35">
      <c r="A195" s="59">
        <v>46388</v>
      </c>
      <c r="B195" s="192">
        <f t="shared" si="10"/>
        <v>9.343723891809379</v>
      </c>
      <c r="C195" s="192">
        <f t="shared" si="11"/>
        <v>6.8205023419522393</v>
      </c>
      <c r="D195" s="267">
        <f>MonthlyWorksheet!G194</f>
        <v>15.235972072156702</v>
      </c>
      <c r="E195" s="258">
        <f>MonthlyWorksheet!O194</f>
        <v>142.36071626555102</v>
      </c>
      <c r="F195" s="258">
        <f>MonthlyWorksheet!S194</f>
        <v>103.9169832000637</v>
      </c>
      <c r="G195" s="268">
        <f t="shared" ca="1" si="8"/>
        <v>142.36071626555102</v>
      </c>
      <c r="H195" s="259">
        <f t="shared" ca="1" si="9"/>
        <v>103.9169832000637</v>
      </c>
    </row>
    <row r="196" spans="1:8" ht="15" thickBot="1" x14ac:dyDescent="0.35">
      <c r="A196" s="59">
        <v>46419</v>
      </c>
      <c r="B196" s="192">
        <f t="shared" si="10"/>
        <v>8.8969906413947957</v>
      </c>
      <c r="C196" s="192">
        <f t="shared" si="11"/>
        <v>5.7252676665604962</v>
      </c>
      <c r="D196" s="267">
        <f>MonthlyWorksheet!G195</f>
        <v>15.138825177741108</v>
      </c>
      <c r="E196" s="258">
        <f>MonthlyWorksheet!O195</f>
        <v>134.68998592807455</v>
      </c>
      <c r="F196" s="258">
        <f>MonthlyWorksheet!S195</f>
        <v>86.673826299833124</v>
      </c>
      <c r="G196" s="268">
        <f t="shared" ca="1" si="8"/>
        <v>134.68998592807455</v>
      </c>
      <c r="H196" s="259">
        <f t="shared" ca="1" si="9"/>
        <v>86.673826299833124</v>
      </c>
    </row>
    <row r="197" spans="1:8" ht="15" thickBot="1" x14ac:dyDescent="0.35">
      <c r="A197" s="59">
        <v>46447</v>
      </c>
      <c r="B197" s="192">
        <f t="shared" si="10"/>
        <v>8.1937464522200365</v>
      </c>
      <c r="C197" s="192">
        <f t="shared" si="11"/>
        <v>5.0803789265541113</v>
      </c>
      <c r="D197" s="267">
        <f>MonthlyWorksheet!G196</f>
        <v>14.974422741037811</v>
      </c>
      <c r="E197" s="258">
        <f>MonthlyWorksheet!O196</f>
        <v>122.6966232084216</v>
      </c>
      <c r="F197" s="258">
        <f>MonthlyWorksheet!S196</f>
        <v>76.075741730881148</v>
      </c>
      <c r="G197" s="268">
        <f t="shared" ca="1" si="8"/>
        <v>122.6966232084216</v>
      </c>
      <c r="H197" s="259">
        <f t="shared" ca="1" si="9"/>
        <v>76.075741730881148</v>
      </c>
    </row>
    <row r="198" spans="1:8" ht="15" thickBot="1" x14ac:dyDescent="0.35">
      <c r="A198" s="59">
        <v>46478</v>
      </c>
      <c r="B198" s="192">
        <f t="shared" si="10"/>
        <v>8.2746789981176718</v>
      </c>
      <c r="C198" s="192">
        <f t="shared" si="11"/>
        <v>4.7223007131365344</v>
      </c>
      <c r="D198" s="267">
        <f>MonthlyWorksheet!G197</f>
        <v>14.369122860448368</v>
      </c>
      <c r="E198" s="258">
        <f>MonthlyWorksheet!O197</f>
        <v>118.89987915472463</v>
      </c>
      <c r="F198" s="258">
        <f>MonthlyWorksheet!S197</f>
        <v>67.85531913104181</v>
      </c>
      <c r="G198" s="268">
        <f t="shared" ca="1" si="8"/>
        <v>118.89987915472463</v>
      </c>
      <c r="H198" s="259">
        <f t="shared" ca="1" si="9"/>
        <v>67.85531913104181</v>
      </c>
    </row>
    <row r="199" spans="1:8" ht="15" thickBot="1" x14ac:dyDescent="0.35">
      <c r="A199" s="59">
        <v>46508</v>
      </c>
      <c r="B199" s="192">
        <f t="shared" si="10"/>
        <v>6.8640287136208658</v>
      </c>
      <c r="C199" s="192">
        <f t="shared" si="11"/>
        <v>3.2443735857022364</v>
      </c>
      <c r="D199" s="267">
        <f>MonthlyWorksheet!G198</f>
        <v>14.242084613904904</v>
      </c>
      <c r="E199" s="258">
        <f>MonthlyWorksheet!O198</f>
        <v>97.758077731661203</v>
      </c>
      <c r="F199" s="258">
        <f>MonthlyWorksheet!S198</f>
        <v>46.206643126689308</v>
      </c>
      <c r="G199" s="268">
        <f t="shared" ca="1" si="8"/>
        <v>97.758077731661203</v>
      </c>
      <c r="H199" s="259">
        <f t="shared" ca="1" si="9"/>
        <v>46.206643126689308</v>
      </c>
    </row>
    <row r="200" spans="1:8" ht="15" thickBot="1" x14ac:dyDescent="0.35">
      <c r="A200" s="59">
        <v>46539</v>
      </c>
      <c r="B200" s="192">
        <f t="shared" si="10"/>
        <v>5.9425283155376984</v>
      </c>
      <c r="C200" s="192">
        <f t="shared" si="11"/>
        <v>4.3847333490985561</v>
      </c>
      <c r="D200" s="267">
        <f>MonthlyWorksheet!G199</f>
        <v>14.219666099808999</v>
      </c>
      <c r="E200" s="258">
        <f>MonthlyWorksheet!O199</f>
        <v>84.500768435606489</v>
      </c>
      <c r="F200" s="258">
        <f>MonthlyWorksheet!S199</f>
        <v>62.349444160878711</v>
      </c>
      <c r="G200" s="268">
        <f t="shared" ca="1" si="8"/>
        <v>84.500768435606489</v>
      </c>
      <c r="H200" s="259">
        <f t="shared" ca="1" si="9"/>
        <v>62.349444160878711</v>
      </c>
    </row>
    <row r="201" spans="1:8" ht="15" thickBot="1" x14ac:dyDescent="0.35">
      <c r="A201" s="59">
        <v>46569</v>
      </c>
      <c r="B201" s="192">
        <f t="shared" si="10"/>
        <v>9.3459925645842734</v>
      </c>
      <c r="C201" s="192">
        <f t="shared" si="11"/>
        <v>5.6335518410882459</v>
      </c>
      <c r="D201" s="267">
        <f>MonthlyWorksheet!G200</f>
        <v>14.264503128000813</v>
      </c>
      <c r="E201" s="258">
        <f>MonthlyWorksheet!O200</f>
        <v>133.31594017178472</v>
      </c>
      <c r="F201" s="258">
        <f>MonthlyWorksheet!S200</f>
        <v>80.359817858958024</v>
      </c>
      <c r="G201" s="268">
        <f t="shared" ca="1" si="8"/>
        <v>133.31594017178472</v>
      </c>
      <c r="H201" s="259">
        <f t="shared" ca="1" si="9"/>
        <v>80.359817858958024</v>
      </c>
    </row>
    <row r="202" spans="1:8" ht="15" thickBot="1" x14ac:dyDescent="0.35">
      <c r="A202" s="59">
        <v>46600</v>
      </c>
      <c r="B202" s="192">
        <f t="shared" si="10"/>
        <v>10.907091400010314</v>
      </c>
      <c r="C202" s="192">
        <f t="shared" si="11"/>
        <v>5.8633753864942424</v>
      </c>
      <c r="D202" s="267">
        <f>MonthlyWorksheet!G201</f>
        <v>14.301867318160653</v>
      </c>
      <c r="E202" s="258">
        <f>MonthlyWorksheet!O201</f>
        <v>155.99177402999862</v>
      </c>
      <c r="F202" s="258">
        <f>MonthlyWorksheet!S201</f>
        <v>83.857216814209593</v>
      </c>
      <c r="G202" s="268">
        <f t="shared" ca="1" si="8"/>
        <v>155.99177402999862</v>
      </c>
      <c r="H202" s="259">
        <f t="shared" ca="1" si="9"/>
        <v>83.857216814209593</v>
      </c>
    </row>
    <row r="203" spans="1:8" ht="15" thickBot="1" x14ac:dyDescent="0.35">
      <c r="A203" s="59">
        <v>46631</v>
      </c>
      <c r="B203" s="192">
        <f t="shared" si="10"/>
        <v>8.3193558002295678</v>
      </c>
      <c r="C203" s="192">
        <f t="shared" si="11"/>
        <v>5.1271290953191491</v>
      </c>
      <c r="D203" s="267">
        <f>MonthlyWorksheet!G202</f>
        <v>14.436378402736082</v>
      </c>
      <c r="E203" s="258">
        <f>MonthlyWorksheet!O202</f>
        <v>120.10136839911129</v>
      </c>
      <c r="F203" s="258">
        <f>MonthlyWorksheet!S202</f>
        <v>74.017175739705152</v>
      </c>
      <c r="G203" s="268">
        <f t="shared" ca="1" si="8"/>
        <v>120.10136839911129</v>
      </c>
      <c r="H203" s="259">
        <f t="shared" ca="1" si="9"/>
        <v>74.017175739705152</v>
      </c>
    </row>
    <row r="204" spans="1:8" ht="15" thickBot="1" x14ac:dyDescent="0.35">
      <c r="A204" s="59">
        <v>46661</v>
      </c>
      <c r="B204" s="192">
        <f t="shared" si="10"/>
        <v>9.0650503761597143</v>
      </c>
      <c r="C204" s="192">
        <f t="shared" si="11"/>
        <v>5.3718609197999285</v>
      </c>
      <c r="D204" s="267">
        <f>MonthlyWorksheet!G203</f>
        <v>14.172541246269997</v>
      </c>
      <c r="E204" s="258">
        <f>MonthlyWorksheet!O203</f>
        <v>128.47480035563891</v>
      </c>
      <c r="F204" s="258">
        <f>MonthlyWorksheet!S203</f>
        <v>76.132920455090371</v>
      </c>
      <c r="G204" s="268">
        <f t="shared" ca="1" si="8"/>
        <v>128.47480035563891</v>
      </c>
      <c r="H204" s="259">
        <f t="shared" ca="1" si="9"/>
        <v>76.132920455090371</v>
      </c>
    </row>
    <row r="205" spans="1:8" ht="15" thickBot="1" x14ac:dyDescent="0.35">
      <c r="A205" s="59">
        <v>46692</v>
      </c>
      <c r="B205" s="192">
        <f t="shared" si="10"/>
        <v>8.1475671112600043</v>
      </c>
      <c r="C205" s="192">
        <f t="shared" si="11"/>
        <v>4.8470337681523326</v>
      </c>
      <c r="D205" s="267">
        <f>MonthlyWorksheet!G204</f>
        <v>14.854423602342671</v>
      </c>
      <c r="E205" s="258">
        <f>MonthlyWorksheet!O204</f>
        <v>121.02741319917151</v>
      </c>
      <c r="F205" s="258">
        <f>MonthlyWorksheet!S204</f>
        <v>71.999892806993941</v>
      </c>
      <c r="G205" s="268">
        <f t="shared" ca="1" si="8"/>
        <v>121.02741319917151</v>
      </c>
      <c r="H205" s="259">
        <f t="shared" ca="1" si="9"/>
        <v>71.999892806993941</v>
      </c>
    </row>
    <row r="206" spans="1:8" ht="15" thickBot="1" x14ac:dyDescent="0.35">
      <c r="A206" s="59">
        <v>46722</v>
      </c>
      <c r="B206" s="192">
        <f t="shared" si="10"/>
        <v>7.0535432395959967</v>
      </c>
      <c r="C206" s="192">
        <f t="shared" si="11"/>
        <v>5.2698969899925139</v>
      </c>
      <c r="D206" s="267">
        <f>MonthlyWorksheet!G205</f>
        <v>15.387336164408479</v>
      </c>
      <c r="E206" s="258">
        <f>MonthlyWorksheet!O205</f>
        <v>108.53524097785443</v>
      </c>
      <c r="F206" s="258">
        <f>MonthlyWorksheet!S205</f>
        <v>81.089676536819198</v>
      </c>
      <c r="G206" s="268">
        <f t="shared" ca="1" si="8"/>
        <v>108.53524097785443</v>
      </c>
      <c r="H206" s="259">
        <f t="shared" ca="1" si="9"/>
        <v>81.089676536819198</v>
      </c>
    </row>
    <row r="207" spans="1:8" ht="15" thickBot="1" x14ac:dyDescent="0.35">
      <c r="A207" s="59">
        <v>46753</v>
      </c>
      <c r="B207" s="192">
        <f t="shared" si="10"/>
        <v>9.343723891809379</v>
      </c>
      <c r="C207" s="192">
        <f t="shared" si="11"/>
        <v>6.8205023419522393</v>
      </c>
      <c r="D207" s="267">
        <f>MonthlyWorksheet!G206</f>
        <v>16.63431053473861</v>
      </c>
      <c r="E207" s="258">
        <f>MonthlyWorksheet!O206</f>
        <v>155.4264047672136</v>
      </c>
      <c r="F207" s="258">
        <f>MonthlyWorksheet!S206</f>
        <v>113.45435395894549</v>
      </c>
      <c r="G207" s="268">
        <f t="shared" ca="1" si="8"/>
        <v>155.4264047672136</v>
      </c>
      <c r="H207" s="259">
        <f t="shared" ca="1" si="9"/>
        <v>113.45435395894549</v>
      </c>
    </row>
    <row r="208" spans="1:8" ht="15" thickBot="1" x14ac:dyDescent="0.35">
      <c r="A208" s="59">
        <v>46784</v>
      </c>
      <c r="B208" s="192">
        <f t="shared" si="10"/>
        <v>8.8969906413947957</v>
      </c>
      <c r="C208" s="192">
        <f t="shared" si="11"/>
        <v>5.7252676665604962</v>
      </c>
      <c r="D208" s="267">
        <f>MonthlyWorksheet!G207</f>
        <v>16.528247619846056</v>
      </c>
      <c r="E208" s="258">
        <f>MonthlyWorksheet!O207</f>
        <v>147.05166439242618</v>
      </c>
      <c r="F208" s="258">
        <f>MonthlyWorksheet!S207</f>
        <v>94.628641682810098</v>
      </c>
      <c r="G208" s="268">
        <f t="shared" ca="1" si="8"/>
        <v>147.05166439242618</v>
      </c>
      <c r="H208" s="259">
        <f t="shared" ca="1" si="9"/>
        <v>94.628641682810098</v>
      </c>
    </row>
    <row r="209" spans="1:8" ht="15" thickBot="1" x14ac:dyDescent="0.35">
      <c r="A209" s="59">
        <v>46813</v>
      </c>
      <c r="B209" s="192">
        <f t="shared" si="10"/>
        <v>8.1937464522200365</v>
      </c>
      <c r="C209" s="192">
        <f t="shared" si="11"/>
        <v>5.0803789265541113</v>
      </c>
      <c r="D209" s="267">
        <f>MonthlyWorksheet!G208</f>
        <v>16.348756533104833</v>
      </c>
      <c r="E209" s="258">
        <f>MonthlyWorksheet!O208</f>
        <v>133.95756584133687</v>
      </c>
      <c r="F209" s="258">
        <f>MonthlyWorksheet!S208</f>
        <v>83.057878166149649</v>
      </c>
      <c r="G209" s="268">
        <f t="shared" ca="1" si="8"/>
        <v>133.95756584133687</v>
      </c>
      <c r="H209" s="259">
        <f t="shared" ca="1" si="9"/>
        <v>83.057878166149649</v>
      </c>
    </row>
    <row r="210" spans="1:8" ht="15" thickBot="1" x14ac:dyDescent="0.35">
      <c r="A210" s="59">
        <v>46844</v>
      </c>
      <c r="B210" s="192">
        <f t="shared" si="10"/>
        <v>8.2746789981176718</v>
      </c>
      <c r="C210" s="192">
        <f t="shared" si="11"/>
        <v>4.7223007131365344</v>
      </c>
      <c r="D210" s="267">
        <f>MonthlyWorksheet!G209</f>
        <v>15.687902986466653</v>
      </c>
      <c r="E210" s="258">
        <f>MonthlyWorksheet!O209</f>
        <v>129.81236136662312</v>
      </c>
      <c r="F210" s="258">
        <f>MonthlyWorksheet!S209</f>
        <v>74.082995460608245</v>
      </c>
      <c r="G210" s="268">
        <f t="shared" ca="1" si="8"/>
        <v>129.81236136662312</v>
      </c>
      <c r="H210" s="259">
        <f t="shared" ca="1" si="9"/>
        <v>74.082995460608245</v>
      </c>
    </row>
    <row r="211" spans="1:8" ht="15" thickBot="1" x14ac:dyDescent="0.35">
      <c r="A211" s="59">
        <v>46874</v>
      </c>
      <c r="B211" s="192">
        <f t="shared" si="10"/>
        <v>6.8640287136208658</v>
      </c>
      <c r="C211" s="192">
        <f t="shared" si="11"/>
        <v>3.2443735857022364</v>
      </c>
      <c r="D211" s="267">
        <f>MonthlyWorksheet!G210</f>
        <v>15.549205328530245</v>
      </c>
      <c r="E211" s="258">
        <f>MonthlyWorksheet!O210</f>
        <v>106.73019184901817</v>
      </c>
      <c r="F211" s="258">
        <f>MonthlyWorksheet!S210</f>
        <v>50.447431046543997</v>
      </c>
      <c r="G211" s="268">
        <f t="shared" ca="1" si="8"/>
        <v>106.73019184901817</v>
      </c>
      <c r="H211" s="259">
        <f t="shared" ca="1" si="9"/>
        <v>50.447431046543997</v>
      </c>
    </row>
    <row r="212" spans="1:8" ht="15" thickBot="1" x14ac:dyDescent="0.35">
      <c r="A212" s="59">
        <v>46905</v>
      </c>
      <c r="B212" s="192">
        <f t="shared" si="10"/>
        <v>5.9425283155376993</v>
      </c>
      <c r="C212" s="192">
        <f t="shared" si="11"/>
        <v>4.3847333490985561</v>
      </c>
      <c r="D212" s="267">
        <f>MonthlyWorksheet!G211</f>
        <v>15.524729271247349</v>
      </c>
      <c r="E212" s="258">
        <f>MonthlyWorksheet!O211</f>
        <v>92.256143285444324</v>
      </c>
      <c r="F212" s="258">
        <f>MonthlyWorksheet!S211</f>
        <v>68.071798171364776</v>
      </c>
      <c r="G212" s="268">
        <f t="shared" ca="1" si="8"/>
        <v>92.256143285444324</v>
      </c>
      <c r="H212" s="259">
        <f t="shared" ca="1" si="9"/>
        <v>68.071798171364776</v>
      </c>
    </row>
    <row r="213" spans="1:8" ht="15" thickBot="1" x14ac:dyDescent="0.35">
      <c r="A213" s="59">
        <v>46935</v>
      </c>
      <c r="B213" s="192">
        <f t="shared" si="10"/>
        <v>9.3459925645842734</v>
      </c>
      <c r="C213" s="192">
        <f t="shared" si="11"/>
        <v>5.6335518410882459</v>
      </c>
      <c r="D213" s="267">
        <f>MonthlyWorksheet!G212</f>
        <v>15.573681385813146</v>
      </c>
      <c r="E213" s="258">
        <f>MonthlyWorksheet!O212</f>
        <v>145.55151043501417</v>
      </c>
      <c r="F213" s="258">
        <f>MonthlyWorksheet!S212</f>
        <v>87.73514144356939</v>
      </c>
      <c r="G213" s="268">
        <f t="shared" ca="1" si="8"/>
        <v>145.55151043501417</v>
      </c>
      <c r="H213" s="259">
        <f t="shared" ca="1" si="9"/>
        <v>87.73514144356939</v>
      </c>
    </row>
    <row r="214" spans="1:8" ht="15" thickBot="1" x14ac:dyDescent="0.35">
      <c r="A214" s="59">
        <v>46966</v>
      </c>
      <c r="B214" s="192">
        <f t="shared" si="10"/>
        <v>10.907091400010314</v>
      </c>
      <c r="C214" s="192">
        <f t="shared" si="11"/>
        <v>5.8633753864942424</v>
      </c>
      <c r="D214" s="267">
        <f>MonthlyWorksheet!G213</f>
        <v>15.614474814617969</v>
      </c>
      <c r="E214" s="258">
        <f>MonthlyWorksheet!O213</f>
        <v>170.30850396619729</v>
      </c>
      <c r="F214" s="258">
        <f>MonthlyWorksheet!S213</f>
        <v>91.553527301065245</v>
      </c>
      <c r="G214" s="268">
        <f t="shared" ca="1" si="8"/>
        <v>170.30850396619729</v>
      </c>
      <c r="H214" s="259">
        <f t="shared" ca="1" si="9"/>
        <v>91.553527301065245</v>
      </c>
    </row>
    <row r="215" spans="1:8" ht="15" thickBot="1" x14ac:dyDescent="0.35">
      <c r="A215" s="59">
        <v>46997</v>
      </c>
      <c r="B215" s="192">
        <f t="shared" si="10"/>
        <v>8.3193558002295678</v>
      </c>
      <c r="C215" s="192">
        <f t="shared" si="11"/>
        <v>5.1271290953191491</v>
      </c>
      <c r="D215" s="267">
        <f>MonthlyWorksheet!G214</f>
        <v>15.76133115831534</v>
      </c>
      <c r="E215" s="258">
        <f>MonthlyWorksheet!O214</f>
        <v>131.12412179126974</v>
      </c>
      <c r="F215" s="258">
        <f>MonthlyWorksheet!S214</f>
        <v>80.81037956275884</v>
      </c>
      <c r="G215" s="268">
        <f t="shared" ca="1" si="8"/>
        <v>131.12412179126974</v>
      </c>
      <c r="H215" s="259">
        <f t="shared" ca="1" si="9"/>
        <v>80.81037956275884</v>
      </c>
    </row>
    <row r="216" spans="1:8" ht="15" thickBot="1" x14ac:dyDescent="0.35">
      <c r="A216" s="59">
        <v>47027</v>
      </c>
      <c r="B216" s="192">
        <f t="shared" si="10"/>
        <v>9.0650503761597143</v>
      </c>
      <c r="C216" s="192">
        <f t="shared" si="11"/>
        <v>5.3718609197999285</v>
      </c>
      <c r="D216" s="267">
        <f>MonthlyWorksheet!G215</f>
        <v>15.473279357585172</v>
      </c>
      <c r="E216" s="258">
        <f>MonthlyWorksheet!O215</f>
        <v>140.26605686090181</v>
      </c>
      <c r="F216" s="258">
        <f>MonthlyWorksheet!S215</f>
        <v>83.120304682158732</v>
      </c>
      <c r="G216" s="268">
        <f t="shared" ca="1" si="8"/>
        <v>140.26605686090181</v>
      </c>
      <c r="H216" s="259">
        <f t="shared" ca="1" si="9"/>
        <v>83.120304682158732</v>
      </c>
    </row>
    <row r="217" spans="1:8" ht="15" thickBot="1" x14ac:dyDescent="0.35">
      <c r="A217" s="59">
        <v>47058</v>
      </c>
      <c r="B217" s="192">
        <f t="shared" si="10"/>
        <v>8.1475671112600043</v>
      </c>
      <c r="C217" s="192">
        <f t="shared" si="11"/>
        <v>4.8470337681523326</v>
      </c>
      <c r="D217" s="267">
        <f>MonthlyWorksheet!G216</f>
        <v>16.217744023531914</v>
      </c>
      <c r="E217" s="258">
        <f>MonthlyWorksheet!O216</f>
        <v>132.13515782496211</v>
      </c>
      <c r="F217" s="258">
        <f>MonthlyWorksheet!S216</f>
        <v>78.60795292530986</v>
      </c>
      <c r="G217" s="268">
        <f t="shared" ca="1" si="8"/>
        <v>132.13515782496211</v>
      </c>
      <c r="H217" s="259">
        <f t="shared" ca="1" si="9"/>
        <v>78.60795292530986</v>
      </c>
    </row>
    <row r="218" spans="1:8" ht="15" thickBot="1" x14ac:dyDescent="0.35">
      <c r="A218" s="59">
        <v>47088</v>
      </c>
      <c r="B218" s="192">
        <f t="shared" si="10"/>
        <v>7.0535432395959967</v>
      </c>
      <c r="C218" s="192">
        <f t="shared" si="11"/>
        <v>5.2698969899925139</v>
      </c>
      <c r="D218" s="267">
        <f>MonthlyWorksheet!G217</f>
        <v>16.799566634080385</v>
      </c>
      <c r="E218" s="258">
        <f>MonthlyWorksheet!O217</f>
        <v>118.49646965996017</v>
      </c>
      <c r="F218" s="258">
        <f>MonthlyWorksheet!S217</f>
        <v>88.531985638118883</v>
      </c>
      <c r="G218" s="268">
        <f t="shared" ca="1" si="8"/>
        <v>118.49646965996017</v>
      </c>
      <c r="H218" s="259">
        <f t="shared" ca="1" si="9"/>
        <v>88.531985638118883</v>
      </c>
    </row>
    <row r="219" spans="1:8" ht="15" thickBot="1" x14ac:dyDescent="0.35">
      <c r="A219" s="59">
        <v>47119</v>
      </c>
      <c r="B219" s="192">
        <f t="shared" si="10"/>
        <v>9.343723891809379</v>
      </c>
      <c r="C219" s="192">
        <f t="shared" si="11"/>
        <v>6.8205023419522393</v>
      </c>
      <c r="D219" s="267">
        <f>MonthlyWorksheet!G218</f>
        <v>18.160986752645581</v>
      </c>
      <c r="E219" s="258">
        <f>MonthlyWorksheet!O218</f>
        <v>169.69124581952815</v>
      </c>
      <c r="F219" s="258">
        <f>MonthlyWorksheet!S218</f>
        <v>123.86705267858278</v>
      </c>
      <c r="G219" s="268">
        <f t="shared" ref="G219:G266" ca="1" si="12">IF(E219/D219&lt;6.5,E219+$I$4*VLOOKUP(YEAR(A219),CarbonPrice,4),E219+(E219/D219*($I$3/7))*VLOOKUP(YEAR(A219),CarbonPrice,4))</f>
        <v>169.69124581952815</v>
      </c>
      <c r="H219" s="259">
        <f t="shared" ref="H219:H266" ca="1" si="13">IF(F219/$D219&lt;6.5,F219+$I$4*VLOOKUP(YEAR($A219),CarbonPrice,4),F219+(F219/$D219*($I$3/7))*VLOOKUP(YEAR($A219),CarbonPrice,4))</f>
        <v>123.86705267858278</v>
      </c>
    </row>
    <row r="220" spans="1:8" ht="15" thickBot="1" x14ac:dyDescent="0.35">
      <c r="A220" s="59">
        <v>47150</v>
      </c>
      <c r="B220" s="192">
        <f t="shared" ref="B220:B266" si="14">E220/D220</f>
        <v>8.8969906413947957</v>
      </c>
      <c r="C220" s="192">
        <f t="shared" ref="C220:C266" si="15">F220/D220</f>
        <v>5.7252676665604962</v>
      </c>
      <c r="D220" s="267">
        <f>MonthlyWorksheet!G219</f>
        <v>18.045189516067126</v>
      </c>
      <c r="E220" s="258">
        <f>MonthlyWorksheet!O219</f>
        <v>160.54788224664469</v>
      </c>
      <c r="F220" s="258">
        <f>MonthlyWorksheet!S219</f>
        <v>103.31354007329556</v>
      </c>
      <c r="G220" s="268">
        <f t="shared" ca="1" si="12"/>
        <v>160.54788224664469</v>
      </c>
      <c r="H220" s="259">
        <f t="shared" ca="1" si="13"/>
        <v>103.31354007329556</v>
      </c>
    </row>
    <row r="221" spans="1:8" ht="15" thickBot="1" x14ac:dyDescent="0.35">
      <c r="A221" s="59">
        <v>47178</v>
      </c>
      <c r="B221" s="192">
        <f t="shared" si="14"/>
        <v>8.1937464522200365</v>
      </c>
      <c r="C221" s="192">
        <f t="shared" si="15"/>
        <v>5.0803789265541113</v>
      </c>
      <c r="D221" s="267">
        <f>MonthlyWorksheet!G220</f>
        <v>17.849224961857452</v>
      </c>
      <c r="E221" s="258">
        <f>MonthlyWorksheet!O220</f>
        <v>146.25202370609682</v>
      </c>
      <c r="F221" s="258">
        <f>MonthlyWorksheet!S220</f>
        <v>90.680826351544212</v>
      </c>
      <c r="G221" s="268">
        <f t="shared" ca="1" si="12"/>
        <v>146.25202370609682</v>
      </c>
      <c r="H221" s="259">
        <f t="shared" ca="1" si="13"/>
        <v>90.680826351544212</v>
      </c>
    </row>
    <row r="222" spans="1:8" ht="15" thickBot="1" x14ac:dyDescent="0.35">
      <c r="A222" s="59">
        <v>47209</v>
      </c>
      <c r="B222" s="192">
        <f t="shared" si="14"/>
        <v>8.2746789981176718</v>
      </c>
      <c r="C222" s="192">
        <f t="shared" si="15"/>
        <v>4.7223007131365344</v>
      </c>
      <c r="D222" s="267">
        <f>MonthlyWorksheet!G221</f>
        <v>17.127719103176339</v>
      </c>
      <c r="E222" s="258">
        <f>MonthlyWorksheet!O221</f>
        <v>141.72637754871209</v>
      </c>
      <c r="F222" s="258">
        <f>MonthlyWorksheet!S221</f>
        <v>80.88224013533187</v>
      </c>
      <c r="G222" s="268">
        <f t="shared" ca="1" si="12"/>
        <v>141.72637754871209</v>
      </c>
      <c r="H222" s="259">
        <f t="shared" ca="1" si="13"/>
        <v>80.88224013533187</v>
      </c>
    </row>
    <row r="223" spans="1:8" ht="15" thickBot="1" x14ac:dyDescent="0.35">
      <c r="A223" s="59">
        <v>47239</v>
      </c>
      <c r="B223" s="192">
        <f t="shared" si="14"/>
        <v>6.8640287136208658</v>
      </c>
      <c r="C223" s="192">
        <f t="shared" si="15"/>
        <v>3.2443735857022364</v>
      </c>
      <c r="D223" s="267">
        <f>MonthlyWorksheet!G222</f>
        <v>16.976291947650676</v>
      </c>
      <c r="E223" s="258">
        <f>MonthlyWorksheet!O222</f>
        <v>116.52575537948493</v>
      </c>
      <c r="F223" s="258">
        <f>MonthlyWorksheet!S222</f>
        <v>55.077433178127428</v>
      </c>
      <c r="G223" s="268">
        <f t="shared" ca="1" si="12"/>
        <v>116.52575537948493</v>
      </c>
      <c r="H223" s="259">
        <f t="shared" ca="1" si="13"/>
        <v>55.077433178127428</v>
      </c>
    </row>
    <row r="224" spans="1:8" ht="15" thickBot="1" x14ac:dyDescent="0.35">
      <c r="A224" s="59">
        <v>47270</v>
      </c>
      <c r="B224" s="192">
        <f t="shared" si="14"/>
        <v>5.9425283155376993</v>
      </c>
      <c r="C224" s="192">
        <f t="shared" si="15"/>
        <v>4.3847333490985561</v>
      </c>
      <c r="D224" s="267">
        <f>MonthlyWorksheet!G223</f>
        <v>16.949569508440263</v>
      </c>
      <c r="E224" s="258">
        <f>MonthlyWorksheet!O223</f>
        <v>100.72329674008067</v>
      </c>
      <c r="F224" s="258">
        <f>MonthlyWorksheet!S223</f>
        <v>74.319342676522041</v>
      </c>
      <c r="G224" s="268">
        <f t="shared" ca="1" si="12"/>
        <v>100.72329674008067</v>
      </c>
      <c r="H224" s="259">
        <f t="shared" ca="1" si="13"/>
        <v>74.319342676522041</v>
      </c>
    </row>
    <row r="225" spans="1:8" ht="15" thickBot="1" x14ac:dyDescent="0.35">
      <c r="A225" s="59">
        <v>47300</v>
      </c>
      <c r="B225" s="192">
        <f t="shared" si="14"/>
        <v>9.3459925645842734</v>
      </c>
      <c r="C225" s="192">
        <f t="shared" si="15"/>
        <v>5.6335518410882459</v>
      </c>
      <c r="D225" s="267">
        <f>MonthlyWorksheet!G224</f>
        <v>17.003014386861093</v>
      </c>
      <c r="E225" s="258">
        <f>MonthlyWorksheet!O224</f>
        <v>158.9100460351232</v>
      </c>
      <c r="F225" s="258">
        <f>MonthlyWorksheet!S224</f>
        <v>95.787363003151242</v>
      </c>
      <c r="G225" s="268">
        <f t="shared" ca="1" si="12"/>
        <v>158.9100460351232</v>
      </c>
      <c r="H225" s="259">
        <f t="shared" ca="1" si="13"/>
        <v>95.787363003151242</v>
      </c>
    </row>
    <row r="226" spans="1:8" ht="15" thickBot="1" x14ac:dyDescent="0.35">
      <c r="A226" s="59">
        <v>47331</v>
      </c>
      <c r="B226" s="192">
        <f t="shared" si="14"/>
        <v>10.907091400010314</v>
      </c>
      <c r="C226" s="192">
        <f t="shared" si="15"/>
        <v>5.8633753864942424</v>
      </c>
      <c r="D226" s="267">
        <f>MonthlyWorksheet!G225</f>
        <v>17.047551785545107</v>
      </c>
      <c r="E226" s="258">
        <f>MonthlyWorksheet!O225</f>
        <v>185.93920547134951</v>
      </c>
      <c r="F226" s="258">
        <f>MonthlyWorksheet!S225</f>
        <v>99.956195539351157</v>
      </c>
      <c r="G226" s="268">
        <f t="shared" ca="1" si="12"/>
        <v>185.93920547134951</v>
      </c>
      <c r="H226" s="259">
        <f t="shared" ca="1" si="13"/>
        <v>99.956195539351157</v>
      </c>
    </row>
    <row r="227" spans="1:8" ht="15" thickBot="1" x14ac:dyDescent="0.35">
      <c r="A227" s="59">
        <v>47362</v>
      </c>
      <c r="B227" s="192">
        <f t="shared" si="14"/>
        <v>8.3193558002295678</v>
      </c>
      <c r="C227" s="192">
        <f t="shared" si="15"/>
        <v>5.1271290953191491</v>
      </c>
      <c r="D227" s="267">
        <f>MonthlyWorksheet!G226</f>
        <v>17.207886420807576</v>
      </c>
      <c r="E227" s="258">
        <f>MonthlyWorksheet!O226</f>
        <v>143.15852970463712</v>
      </c>
      <c r="F227" s="258">
        <f>MonthlyWorksheet!S226</f>
        <v>88.227055137069812</v>
      </c>
      <c r="G227" s="268">
        <f t="shared" ca="1" si="12"/>
        <v>143.15852970463712</v>
      </c>
      <c r="H227" s="259">
        <f t="shared" ca="1" si="13"/>
        <v>88.227055137069812</v>
      </c>
    </row>
    <row r="228" spans="1:8" ht="15" thickBot="1" x14ac:dyDescent="0.35">
      <c r="A228" s="59">
        <v>47392</v>
      </c>
      <c r="B228" s="192">
        <f t="shared" si="14"/>
        <v>9.0650503761597143</v>
      </c>
      <c r="C228" s="192">
        <f t="shared" si="15"/>
        <v>5.3718609197999285</v>
      </c>
      <c r="D228" s="267">
        <f>MonthlyWorksheet!G227</f>
        <v>16.893397586045751</v>
      </c>
      <c r="E228" s="258">
        <f>MonthlyWorksheet!O227</f>
        <v>153.13950014199963</v>
      </c>
      <c r="F228" s="258">
        <f>MonthlyWorksheet!S227</f>
        <v>90.748982295121621</v>
      </c>
      <c r="G228" s="268">
        <f t="shared" ca="1" si="12"/>
        <v>153.13950014199963</v>
      </c>
      <c r="H228" s="259">
        <f t="shared" ca="1" si="13"/>
        <v>90.748982295121621</v>
      </c>
    </row>
    <row r="229" spans="1:8" ht="15" thickBot="1" x14ac:dyDescent="0.35">
      <c r="A229" s="59">
        <v>47423</v>
      </c>
      <c r="B229" s="192">
        <f t="shared" si="14"/>
        <v>8.1475671112600043</v>
      </c>
      <c r="C229" s="192">
        <f t="shared" si="15"/>
        <v>4.8470337681523326</v>
      </c>
      <c r="D229" s="267">
        <f>MonthlyWorksheet!G228</f>
        <v>17.706188288000984</v>
      </c>
      <c r="E229" s="258">
        <f>MonthlyWorksheet!O228</f>
        <v>144.2623573610939</v>
      </c>
      <c r="F229" s="258">
        <f>MonthlyWorksheet!S228</f>
        <v>85.822492537204113</v>
      </c>
      <c r="G229" s="268">
        <f t="shared" ca="1" si="12"/>
        <v>144.2623573610939</v>
      </c>
      <c r="H229" s="259">
        <f t="shared" ca="1" si="13"/>
        <v>85.822492537204113</v>
      </c>
    </row>
    <row r="230" spans="1:8" ht="15" thickBot="1" x14ac:dyDescent="0.35">
      <c r="A230" s="59">
        <v>47453</v>
      </c>
      <c r="B230" s="192">
        <f t="shared" si="14"/>
        <v>7.0535432395959976</v>
      </c>
      <c r="C230" s="192">
        <f t="shared" si="15"/>
        <v>5.2698969899925139</v>
      </c>
      <c r="D230" s="267">
        <f>MonthlyWorksheet!G229</f>
        <v>18.341409850114648</v>
      </c>
      <c r="E230" s="258">
        <f>MonthlyWorksheet!O229</f>
        <v>129.37192745293561</v>
      </c>
      <c r="F230" s="258">
        <f>MonthlyWorksheet!S229</f>
        <v>96.657340561338231</v>
      </c>
      <c r="G230" s="268">
        <f t="shared" ca="1" si="12"/>
        <v>129.37192745293561</v>
      </c>
      <c r="H230" s="259">
        <f t="shared" ca="1" si="13"/>
        <v>96.657340561338231</v>
      </c>
    </row>
    <row r="231" spans="1:8" ht="15" thickBot="1" x14ac:dyDescent="0.35">
      <c r="A231" s="59">
        <v>47484</v>
      </c>
      <c r="B231" s="192">
        <f t="shared" si="14"/>
        <v>9.343723891809379</v>
      </c>
      <c r="C231" s="192">
        <f t="shared" si="15"/>
        <v>6.8205023419522393</v>
      </c>
      <c r="D231" s="267">
        <f>MonthlyWorksheet!G230</f>
        <v>19.827779404561365</v>
      </c>
      <c r="E231" s="258">
        <f>MonthlyWorksheet!O230</f>
        <v>185.26529614392598</v>
      </c>
      <c r="F231" s="258">
        <f>MonthlyWorksheet!S230</f>
        <v>135.23541586452316</v>
      </c>
      <c r="G231" s="268">
        <f t="shared" ca="1" si="12"/>
        <v>185.26529614392598</v>
      </c>
      <c r="H231" s="259">
        <f t="shared" ca="1" si="13"/>
        <v>135.23541586452316</v>
      </c>
    </row>
    <row r="232" spans="1:8" ht="15" thickBot="1" x14ac:dyDescent="0.35">
      <c r="A232" s="59">
        <v>47515</v>
      </c>
      <c r="B232" s="192">
        <f t="shared" si="14"/>
        <v>8.8969906413947957</v>
      </c>
      <c r="C232" s="192">
        <f t="shared" si="15"/>
        <v>5.7252676665604962</v>
      </c>
      <c r="D232" s="267">
        <f>MonthlyWorksheet!G231</f>
        <v>19.701354442426474</v>
      </c>
      <c r="E232" s="258">
        <f>MonthlyWorksheet!O231</f>
        <v>175.28276609707012</v>
      </c>
      <c r="F232" s="258">
        <f>MonthlyWorksheet!S231</f>
        <v>112.79552757667228</v>
      </c>
      <c r="G232" s="268">
        <f t="shared" ca="1" si="12"/>
        <v>175.28276609707012</v>
      </c>
      <c r="H232" s="259">
        <f t="shared" ca="1" si="13"/>
        <v>112.79552757667228</v>
      </c>
    </row>
    <row r="233" spans="1:8" ht="15" thickBot="1" x14ac:dyDescent="0.35">
      <c r="A233" s="59">
        <v>47543</v>
      </c>
      <c r="B233" s="192">
        <f t="shared" si="14"/>
        <v>8.1937464522200365</v>
      </c>
      <c r="C233" s="192">
        <f t="shared" si="15"/>
        <v>5.0803789265541113</v>
      </c>
      <c r="D233" s="267">
        <f>MonthlyWorksheet!G232</f>
        <v>19.487404506505918</v>
      </c>
      <c r="E233" s="258">
        <f>MonthlyWorksheet!O232</f>
        <v>159.67485153815963</v>
      </c>
      <c r="F233" s="258">
        <f>MonthlyWorksheet!S232</f>
        <v>99.003399188088281</v>
      </c>
      <c r="G233" s="268">
        <f t="shared" ca="1" si="12"/>
        <v>159.67485153815963</v>
      </c>
      <c r="H233" s="259">
        <f t="shared" ca="1" si="13"/>
        <v>99.003399188088281</v>
      </c>
    </row>
    <row r="234" spans="1:8" ht="15" thickBot="1" x14ac:dyDescent="0.35">
      <c r="A234" s="59">
        <v>47574</v>
      </c>
      <c r="B234" s="192">
        <f t="shared" si="14"/>
        <v>8.2746789981176718</v>
      </c>
      <c r="C234" s="192">
        <f t="shared" si="15"/>
        <v>4.7223007131365344</v>
      </c>
      <c r="D234" s="267">
        <f>MonthlyWorksheet!G233</f>
        <v>18.699679742434732</v>
      </c>
      <c r="E234" s="258">
        <f>MonthlyWorksheet!O233</f>
        <v>154.73384723625117</v>
      </c>
      <c r="F234" s="258">
        <f>MonthlyWorksheet!S233</f>
        <v>88.305510983124336</v>
      </c>
      <c r="G234" s="268">
        <f t="shared" ca="1" si="12"/>
        <v>154.73384723625117</v>
      </c>
      <c r="H234" s="259">
        <f t="shared" ca="1" si="13"/>
        <v>88.305510983124336</v>
      </c>
    </row>
    <row r="235" spans="1:8" ht="15" thickBot="1" x14ac:dyDescent="0.35">
      <c r="A235" s="59">
        <v>47604</v>
      </c>
      <c r="B235" s="192">
        <f t="shared" si="14"/>
        <v>6.8640287136208658</v>
      </c>
      <c r="C235" s="192">
        <f t="shared" si="15"/>
        <v>3.2443735857022364</v>
      </c>
      <c r="D235" s="267">
        <f>MonthlyWorksheet!G234</f>
        <v>18.534354791950655</v>
      </c>
      <c r="E235" s="258">
        <f>MonthlyWorksheet!O234</f>
        <v>127.22034348038578</v>
      </c>
      <c r="F235" s="258">
        <f>MonthlyWorksheet!S234</f>
        <v>60.132371115038374</v>
      </c>
      <c r="G235" s="268">
        <f t="shared" ca="1" si="12"/>
        <v>127.22034348038578</v>
      </c>
      <c r="H235" s="259">
        <f t="shared" ca="1" si="13"/>
        <v>60.132371115038374</v>
      </c>
    </row>
    <row r="236" spans="1:8" ht="15" thickBot="1" x14ac:dyDescent="0.35">
      <c r="A236" s="59">
        <v>47635</v>
      </c>
      <c r="B236" s="192">
        <f t="shared" si="14"/>
        <v>5.9425283155376993</v>
      </c>
      <c r="C236" s="192">
        <f t="shared" si="15"/>
        <v>4.3847333490985561</v>
      </c>
      <c r="D236" s="267">
        <f>MonthlyWorksheet!G235</f>
        <v>18.505179800688762</v>
      </c>
      <c r="E236" s="258">
        <f>MonthlyWorksheet!O235</f>
        <v>109.96755494970924</v>
      </c>
      <c r="F236" s="258">
        <f>MonthlyWorksheet!S235</f>
        <v>81.140279003144983</v>
      </c>
      <c r="G236" s="268">
        <f t="shared" ca="1" si="12"/>
        <v>109.96755494970924</v>
      </c>
      <c r="H236" s="259">
        <f t="shared" ca="1" si="13"/>
        <v>81.140279003144983</v>
      </c>
    </row>
    <row r="237" spans="1:8" ht="15" thickBot="1" x14ac:dyDescent="0.35">
      <c r="A237" s="59">
        <v>47665</v>
      </c>
      <c r="B237" s="192">
        <f t="shared" si="14"/>
        <v>9.3459925645842734</v>
      </c>
      <c r="C237" s="192">
        <f t="shared" si="15"/>
        <v>5.6335518410882459</v>
      </c>
      <c r="D237" s="267">
        <f>MonthlyWorksheet!G236</f>
        <v>18.563529783212559</v>
      </c>
      <c r="E237" s="258">
        <f>MonthlyWorksheet!O236</f>
        <v>173.49461132634329</v>
      </c>
      <c r="F237" s="258">
        <f>MonthlyWorksheet!S236</f>
        <v>104.5786073873136</v>
      </c>
      <c r="G237" s="268">
        <f t="shared" ca="1" si="12"/>
        <v>173.49461132634329</v>
      </c>
      <c r="H237" s="259">
        <f t="shared" ca="1" si="13"/>
        <v>104.5786073873136</v>
      </c>
    </row>
    <row r="238" spans="1:8" ht="15" thickBot="1" x14ac:dyDescent="0.35">
      <c r="A238" s="59">
        <v>47696</v>
      </c>
      <c r="B238" s="192">
        <f t="shared" si="14"/>
        <v>10.907091400010314</v>
      </c>
      <c r="C238" s="192">
        <f t="shared" si="15"/>
        <v>5.8633753864942424</v>
      </c>
      <c r="D238" s="267">
        <f>MonthlyWorksheet!G237</f>
        <v>18.612154768649045</v>
      </c>
      <c r="E238" s="258">
        <f>MonthlyWorksheet!O237</f>
        <v>203.00447321279296</v>
      </c>
      <c r="F238" s="258">
        <f>MonthlyWorksheet!S237</f>
        <v>109.13005016011826</v>
      </c>
      <c r="G238" s="268">
        <f t="shared" ca="1" si="12"/>
        <v>203.00447321279296</v>
      </c>
      <c r="H238" s="259">
        <f t="shared" ca="1" si="13"/>
        <v>109.13005016011826</v>
      </c>
    </row>
    <row r="239" spans="1:8" ht="15" thickBot="1" x14ac:dyDescent="0.35">
      <c r="A239" s="59">
        <v>47727</v>
      </c>
      <c r="B239" s="192">
        <f t="shared" si="14"/>
        <v>8.3193558002295678</v>
      </c>
      <c r="C239" s="192">
        <f t="shared" si="15"/>
        <v>5.1271290953191491</v>
      </c>
      <c r="D239" s="267">
        <f>MonthlyWorksheet!G238</f>
        <v>18.787204716220419</v>
      </c>
      <c r="E239" s="258">
        <f>MonthlyWorksheet!O238</f>
        <v>156.29744052598863</v>
      </c>
      <c r="F239" s="258">
        <f>MonthlyWorksheet!S238</f>
        <v>96.324423920250851</v>
      </c>
      <c r="G239" s="268">
        <f t="shared" ca="1" si="12"/>
        <v>156.29744052598863</v>
      </c>
      <c r="H239" s="259">
        <f t="shared" ca="1" si="13"/>
        <v>96.324423920250851</v>
      </c>
    </row>
    <row r="240" spans="1:8" ht="15" thickBot="1" x14ac:dyDescent="0.35">
      <c r="A240" s="59">
        <v>47757</v>
      </c>
      <c r="B240" s="192">
        <f t="shared" si="14"/>
        <v>9.0650503761597143</v>
      </c>
      <c r="C240" s="192">
        <f t="shared" si="15"/>
        <v>5.3718609197999285</v>
      </c>
      <c r="D240" s="267">
        <f>MonthlyWorksheet!G239</f>
        <v>18.443852489505833</v>
      </c>
      <c r="E240" s="258">
        <f>MonthlyWorksheet!O239</f>
        <v>167.19445194782912</v>
      </c>
      <c r="F240" s="258">
        <f>MonthlyWorksheet!S239</f>
        <v>99.077810398931007</v>
      </c>
      <c r="G240" s="268">
        <f t="shared" ca="1" si="12"/>
        <v>167.19445194782912</v>
      </c>
      <c r="H240" s="259">
        <f t="shared" ca="1" si="13"/>
        <v>99.077810398931007</v>
      </c>
    </row>
    <row r="241" spans="1:8" ht="15" thickBot="1" x14ac:dyDescent="0.35">
      <c r="A241" s="59">
        <v>47788</v>
      </c>
      <c r="B241" s="192">
        <f t="shared" si="14"/>
        <v>8.1475671112600043</v>
      </c>
      <c r="C241" s="192">
        <f t="shared" si="15"/>
        <v>4.8470337681523326</v>
      </c>
      <c r="D241" s="267">
        <f>MonthlyWorksheet!G240</f>
        <v>19.331240105605453</v>
      </c>
      <c r="E241" s="258">
        <f>MonthlyWorksheet!O240</f>
        <v>157.50257610430137</v>
      </c>
      <c r="F241" s="258">
        <f>MonthlyWorksheet!S240</f>
        <v>93.699173572130292</v>
      </c>
      <c r="G241" s="268">
        <f t="shared" ca="1" si="12"/>
        <v>157.50257610430137</v>
      </c>
      <c r="H241" s="259">
        <f t="shared" ca="1" si="13"/>
        <v>93.699173572130292</v>
      </c>
    </row>
    <row r="242" spans="1:8" ht="15" thickBot="1" x14ac:dyDescent="0.35">
      <c r="A242" s="59">
        <v>47818</v>
      </c>
      <c r="B242" s="192">
        <f t="shared" si="14"/>
        <v>7.0535432395959967</v>
      </c>
      <c r="C242" s="192">
        <f t="shared" si="15"/>
        <v>5.2698969899925139</v>
      </c>
      <c r="D242" s="267">
        <f>MonthlyWorksheet!G241</f>
        <v>20.024761508277905</v>
      </c>
      <c r="E242" s="258">
        <f>MonthlyWorksheet!O241</f>
        <v>141.24552116123576</v>
      </c>
      <c r="F242" s="258">
        <f>MonthlyWorksheet!S241</f>
        <v>105.52843039779168</v>
      </c>
      <c r="G242" s="268">
        <f t="shared" ca="1" si="12"/>
        <v>141.24552116123576</v>
      </c>
      <c r="H242" s="259">
        <f t="shared" ca="1" si="13"/>
        <v>105.52843039779168</v>
      </c>
    </row>
    <row r="243" spans="1:8" ht="15" thickBot="1" x14ac:dyDescent="0.35">
      <c r="A243" s="59">
        <v>47849</v>
      </c>
      <c r="B243" s="192">
        <f t="shared" si="14"/>
        <v>9.343723891809379</v>
      </c>
      <c r="C243" s="192">
        <f t="shared" si="15"/>
        <v>6.8205023419522384</v>
      </c>
      <c r="D243" s="267">
        <f>MonthlyWorksheet!G242</f>
        <v>21.647548201568807</v>
      </c>
      <c r="E243" s="258">
        <f>MonthlyWorksheet!O242</f>
        <v>202.26871333009362</v>
      </c>
      <c r="F243" s="258">
        <f>MonthlyWorksheet!S242</f>
        <v>147.64715320632402</v>
      </c>
      <c r="G243" s="268">
        <f t="shared" ca="1" si="12"/>
        <v>202.26871333009362</v>
      </c>
      <c r="H243" s="259">
        <f t="shared" ca="1" si="13"/>
        <v>147.64715320632402</v>
      </c>
    </row>
    <row r="244" spans="1:8" ht="15" thickBot="1" x14ac:dyDescent="0.35">
      <c r="A244" s="59">
        <v>47880</v>
      </c>
      <c r="B244" s="192">
        <f t="shared" si="14"/>
        <v>8.8969906413947957</v>
      </c>
      <c r="C244" s="192">
        <f t="shared" si="15"/>
        <v>5.7252676665604962</v>
      </c>
      <c r="D244" s="267">
        <f>MonthlyWorksheet!G243</f>
        <v>21.509520114517013</v>
      </c>
      <c r="E244" s="258">
        <f>MonthlyWorksheet!O243</f>
        <v>191.36999915975099</v>
      </c>
      <c r="F244" s="258">
        <f>MonthlyWorksheet!S243</f>
        <v>123.14776003487688</v>
      </c>
      <c r="G244" s="268">
        <f t="shared" ca="1" si="12"/>
        <v>191.36999915975099</v>
      </c>
      <c r="H244" s="259">
        <f t="shared" ca="1" si="13"/>
        <v>123.14776003487688</v>
      </c>
    </row>
    <row r="245" spans="1:8" ht="15" thickBot="1" x14ac:dyDescent="0.35">
      <c r="A245" s="59">
        <v>47908</v>
      </c>
      <c r="B245" s="192">
        <f t="shared" si="14"/>
        <v>8.1937464522200365</v>
      </c>
      <c r="C245" s="192">
        <f t="shared" si="15"/>
        <v>5.0803789265541113</v>
      </c>
      <c r="D245" s="267">
        <f>MonthlyWorksheet!G244</f>
        <v>21.275934121044777</v>
      </c>
      <c r="E245" s="258">
        <f>MonthlyWorksheet!O244</f>
        <v>174.32960972197787</v>
      </c>
      <c r="F245" s="258">
        <f>MonthlyWorksheet!S244</f>
        <v>108.08980735130946</v>
      </c>
      <c r="G245" s="268">
        <f t="shared" ca="1" si="12"/>
        <v>174.32960972197787</v>
      </c>
      <c r="H245" s="259">
        <f t="shared" ca="1" si="13"/>
        <v>108.08980735130946</v>
      </c>
    </row>
    <row r="246" spans="1:8" ht="15" thickBot="1" x14ac:dyDescent="0.35">
      <c r="A246" s="59">
        <v>47939</v>
      </c>
      <c r="B246" s="192">
        <f t="shared" si="14"/>
        <v>8.2746789981176718</v>
      </c>
      <c r="C246" s="192">
        <f t="shared" si="15"/>
        <v>4.7223007131365344</v>
      </c>
      <c r="D246" s="267">
        <f>MonthlyWorksheet!G245</f>
        <v>20.415912963260585</v>
      </c>
      <c r="E246" s="258">
        <f>MonthlyWorksheet!O245</f>
        <v>168.93512622449069</v>
      </c>
      <c r="F246" s="258">
        <f>MonthlyWorksheet!S245</f>
        <v>96.410080345738876</v>
      </c>
      <c r="G246" s="268">
        <f t="shared" ca="1" si="12"/>
        <v>168.93512622449069</v>
      </c>
      <c r="H246" s="259">
        <f t="shared" ca="1" si="13"/>
        <v>96.410080345738876</v>
      </c>
    </row>
    <row r="247" spans="1:8" ht="15" thickBot="1" x14ac:dyDescent="0.35">
      <c r="A247" s="59">
        <v>47969</v>
      </c>
      <c r="B247" s="192">
        <f t="shared" si="14"/>
        <v>6.8640287136208658</v>
      </c>
      <c r="C247" s="192">
        <f t="shared" si="15"/>
        <v>3.2443735857022364</v>
      </c>
      <c r="D247" s="267">
        <f>MonthlyWorksheet!G246</f>
        <v>20.235414695577482</v>
      </c>
      <c r="E247" s="258">
        <f>MonthlyWorksheet!O246</f>
        <v>138.89646750246948</v>
      </c>
      <c r="F247" s="258">
        <f>MonthlyWorksheet!S246</f>
        <v>65.651244934062447</v>
      </c>
      <c r="G247" s="268">
        <f t="shared" ca="1" si="12"/>
        <v>138.89646750246948</v>
      </c>
      <c r="H247" s="259">
        <f t="shared" ca="1" si="13"/>
        <v>65.651244934062447</v>
      </c>
    </row>
    <row r="248" spans="1:8" ht="15" thickBot="1" x14ac:dyDescent="0.35">
      <c r="A248" s="59">
        <v>48000</v>
      </c>
      <c r="B248" s="192">
        <f t="shared" si="14"/>
        <v>5.9425283155376993</v>
      </c>
      <c r="C248" s="192">
        <f t="shared" si="15"/>
        <v>4.3847333490985561</v>
      </c>
      <c r="D248" s="267">
        <f>MonthlyWorksheet!G247</f>
        <v>20.203562060103994</v>
      </c>
      <c r="E248" s="258">
        <f>MonthlyWorksheet!O247</f>
        <v>120.06023961689117</v>
      </c>
      <c r="F248" s="258">
        <f>MonthlyWorksheet!S247</f>
        <v>88.587232335520312</v>
      </c>
      <c r="G248" s="268">
        <f t="shared" ca="1" si="12"/>
        <v>120.06023961689117</v>
      </c>
      <c r="H248" s="259">
        <f t="shared" ca="1" si="13"/>
        <v>88.587232335520312</v>
      </c>
    </row>
    <row r="249" spans="1:8" ht="15" thickBot="1" x14ac:dyDescent="0.35">
      <c r="A249" s="59">
        <v>48030</v>
      </c>
      <c r="B249" s="192">
        <f t="shared" si="14"/>
        <v>9.3459925645842734</v>
      </c>
      <c r="C249" s="192">
        <f t="shared" si="15"/>
        <v>5.6335518410882459</v>
      </c>
      <c r="D249" s="267">
        <f>MonthlyWorksheet!G248</f>
        <v>20.267267331050977</v>
      </c>
      <c r="E249" s="258">
        <f>MonthlyWorksheet!O248</f>
        <v>189.41772978044418</v>
      </c>
      <c r="F249" s="258">
        <f>MonthlyWorksheet!S248</f>
        <v>114.17670118666989</v>
      </c>
      <c r="G249" s="268">
        <f t="shared" ca="1" si="12"/>
        <v>189.41772978044418</v>
      </c>
      <c r="H249" s="259">
        <f t="shared" ca="1" si="13"/>
        <v>114.17670118666989</v>
      </c>
    </row>
    <row r="250" spans="1:8" ht="15" thickBot="1" x14ac:dyDescent="0.35">
      <c r="A250" s="59">
        <v>48061</v>
      </c>
      <c r="B250" s="192">
        <f t="shared" si="14"/>
        <v>10.907091400010314</v>
      </c>
      <c r="C250" s="192">
        <f t="shared" si="15"/>
        <v>5.8633753864942424</v>
      </c>
      <c r="D250" s="267">
        <f>MonthlyWorksheet!G249</f>
        <v>20.320355056840121</v>
      </c>
      <c r="E250" s="258">
        <f>MonthlyWorksheet!O249</f>
        <v>221.63596988561699</v>
      </c>
      <c r="F250" s="258">
        <f>MonthlyWorksheet!S249</f>
        <v>119.14586968510018</v>
      </c>
      <c r="G250" s="268">
        <f t="shared" ca="1" si="12"/>
        <v>221.63596988561699</v>
      </c>
      <c r="H250" s="259">
        <f t="shared" ca="1" si="13"/>
        <v>119.14586968510018</v>
      </c>
    </row>
    <row r="251" spans="1:8" ht="15" thickBot="1" x14ac:dyDescent="0.35">
      <c r="A251" s="59">
        <v>48092</v>
      </c>
      <c r="B251" s="192">
        <f t="shared" si="14"/>
        <v>8.3193558002295678</v>
      </c>
      <c r="C251" s="192">
        <f t="shared" si="15"/>
        <v>5.1271290953191491</v>
      </c>
      <c r="D251" s="267">
        <f>MonthlyWorksheet!G250</f>
        <v>20.511470869681052</v>
      </c>
      <c r="E251" s="258">
        <f>MonthlyWorksheet!O250</f>
        <v>170.64222415092087</v>
      </c>
      <c r="F251" s="258">
        <f>MonthlyWorksheet!S250</f>
        <v>105.1649590837329</v>
      </c>
      <c r="G251" s="268">
        <f t="shared" ca="1" si="12"/>
        <v>170.64222415092087</v>
      </c>
      <c r="H251" s="259">
        <f t="shared" ca="1" si="13"/>
        <v>105.1649590837329</v>
      </c>
    </row>
    <row r="252" spans="1:8" ht="15" thickBot="1" x14ac:dyDescent="0.35">
      <c r="A252" s="59">
        <v>48122</v>
      </c>
      <c r="B252" s="192">
        <f t="shared" si="14"/>
        <v>9.0650503761597143</v>
      </c>
      <c r="C252" s="192">
        <f t="shared" si="15"/>
        <v>5.3718609197999285</v>
      </c>
      <c r="D252" s="267">
        <f>MonthlyWorksheet!G251</f>
        <v>20.136606204997012</v>
      </c>
      <c r="E252" s="258">
        <f>MonthlyWorksheet!O251</f>
        <v>182.5393496531882</v>
      </c>
      <c r="F252" s="258">
        <f>MonthlyWorksheet!S251</f>
        <v>108.1710479300242</v>
      </c>
      <c r="G252" s="268">
        <f t="shared" ca="1" si="12"/>
        <v>182.5393496531882</v>
      </c>
      <c r="H252" s="259">
        <f t="shared" ca="1" si="13"/>
        <v>108.1710479300242</v>
      </c>
    </row>
    <row r="253" spans="1:8" ht="15" thickBot="1" x14ac:dyDescent="0.35">
      <c r="A253" s="59">
        <v>48153</v>
      </c>
      <c r="B253" s="192">
        <f t="shared" si="14"/>
        <v>8.1475671112600043</v>
      </c>
      <c r="C253" s="192">
        <f t="shared" si="15"/>
        <v>4.8470337681523326</v>
      </c>
      <c r="D253" s="267">
        <f>MonthlyWorksheet!G252</f>
        <v>21.10543714672983</v>
      </c>
      <c r="E253" s="258">
        <f>MonthlyWorksheet!O252</f>
        <v>171.95796556546114</v>
      </c>
      <c r="F253" s="258">
        <f>MonthlyWorksheet!S252</f>
        <v>102.29876654181611</v>
      </c>
      <c r="G253" s="268">
        <f t="shared" ca="1" si="12"/>
        <v>171.95796556546114</v>
      </c>
      <c r="H253" s="259">
        <f t="shared" ca="1" si="13"/>
        <v>102.29876654181611</v>
      </c>
    </row>
    <row r="254" spans="1:8" ht="15" thickBot="1" x14ac:dyDescent="0.35">
      <c r="A254" s="271">
        <v>48183</v>
      </c>
      <c r="B254" s="192">
        <f t="shared" si="14"/>
        <v>7.0535432395959967</v>
      </c>
      <c r="C254" s="192">
        <f t="shared" si="15"/>
        <v>5.2698969899925139</v>
      </c>
      <c r="D254" s="267">
        <f>MonthlyWorksheet!G253</f>
        <v>21.862609076417417</v>
      </c>
      <c r="E254" s="258">
        <f>MonthlyWorksheet!O253</f>
        <v>154.20885845089416</v>
      </c>
      <c r="F254" s="258">
        <f>MonthlyWorksheet!S253</f>
        <v>115.21369776519516</v>
      </c>
      <c r="G254" s="268">
        <f t="shared" ca="1" si="12"/>
        <v>154.20885845089416</v>
      </c>
      <c r="H254" s="259">
        <f t="shared" ca="1" si="13"/>
        <v>115.21369776519516</v>
      </c>
    </row>
    <row r="255" spans="1:8" ht="15" thickBot="1" x14ac:dyDescent="0.35">
      <c r="A255" s="58">
        <v>48214</v>
      </c>
      <c r="B255" s="192">
        <f t="shared" si="14"/>
        <v>9.343723891809379</v>
      </c>
      <c r="C255" s="192">
        <f t="shared" si="15"/>
        <v>6.8205023419522393</v>
      </c>
      <c r="D255" s="267">
        <f>MonthlyWorksheet!G254</f>
        <v>23.634333102951516</v>
      </c>
      <c r="E255" s="258">
        <f>MonthlyWorksheet!O254</f>
        <v>220.83268288102937</v>
      </c>
      <c r="F255" s="258">
        <f>MonthlyWorksheet!S254</f>
        <v>161.19802427916014</v>
      </c>
      <c r="G255" s="268">
        <f t="shared" ca="1" si="12"/>
        <v>220.83268288102937</v>
      </c>
      <c r="H255" s="259">
        <f t="shared" ca="1" si="13"/>
        <v>161.19802427916014</v>
      </c>
    </row>
    <row r="256" spans="1:8" ht="15" thickBot="1" x14ac:dyDescent="0.35">
      <c r="A256" s="59">
        <v>48245</v>
      </c>
      <c r="B256" s="192">
        <f t="shared" si="14"/>
        <v>8.8969906413947957</v>
      </c>
      <c r="C256" s="192">
        <f t="shared" si="15"/>
        <v>5.7252676665604962</v>
      </c>
      <c r="D256" s="267">
        <f>MonthlyWorksheet!G255</f>
        <v>23.483636970688888</v>
      </c>
      <c r="E256" s="258">
        <f>MonthlyWorksheet!O255</f>
        <v>208.93369835413188</v>
      </c>
      <c r="F256" s="258">
        <f>MonthlyWorksheet!S255</f>
        <v>134.45010744152978</v>
      </c>
      <c r="G256" s="268">
        <f t="shared" ca="1" si="12"/>
        <v>208.93369835413188</v>
      </c>
      <c r="H256" s="259">
        <f t="shared" ca="1" si="13"/>
        <v>134.45010744152978</v>
      </c>
    </row>
    <row r="257" spans="1:8" ht="15" thickBot="1" x14ac:dyDescent="0.35">
      <c r="A257" s="59">
        <v>48274</v>
      </c>
      <c r="B257" s="192">
        <f t="shared" si="14"/>
        <v>8.1937464522200365</v>
      </c>
      <c r="C257" s="192">
        <f t="shared" si="15"/>
        <v>5.0803789265541113</v>
      </c>
      <c r="D257" s="267">
        <f>MonthlyWorksheet!G256</f>
        <v>23.228612746859852</v>
      </c>
      <c r="E257" s="258">
        <f>MonthlyWorksheet!O256</f>
        <v>190.32936328457603</v>
      </c>
      <c r="F257" s="258">
        <f>MonthlyWorksheet!S256</f>
        <v>118.010154692233</v>
      </c>
      <c r="G257" s="268">
        <f t="shared" ca="1" si="12"/>
        <v>190.32936328457603</v>
      </c>
      <c r="H257" s="259">
        <f t="shared" ca="1" si="13"/>
        <v>118.010154692233</v>
      </c>
    </row>
    <row r="258" spans="1:8" ht="15" thickBot="1" x14ac:dyDescent="0.35">
      <c r="A258" s="59">
        <v>48305</v>
      </c>
      <c r="B258" s="192">
        <f t="shared" si="14"/>
        <v>8.2746789981176718</v>
      </c>
      <c r="C258" s="192">
        <f t="shared" si="15"/>
        <v>4.7223007131365344</v>
      </c>
      <c r="D258" s="267">
        <f>MonthlyWorksheet!G257</f>
        <v>22.289659922761992</v>
      </c>
      <c r="E258" s="258">
        <f>MonthlyWorksheet!O257</f>
        <v>184.43978083806383</v>
      </c>
      <c r="F258" s="258">
        <f>MonthlyWorksheet!S257</f>
        <v>105.25847694882978</v>
      </c>
      <c r="G258" s="268">
        <f t="shared" ca="1" si="12"/>
        <v>184.43978083806383</v>
      </c>
      <c r="H258" s="259">
        <f t="shared" ca="1" si="13"/>
        <v>105.25847694882978</v>
      </c>
    </row>
    <row r="259" spans="1:8" ht="15" thickBot="1" x14ac:dyDescent="0.35">
      <c r="A259" s="59">
        <v>48335</v>
      </c>
      <c r="B259" s="192">
        <f t="shared" si="14"/>
        <v>6.8640287136208658</v>
      </c>
      <c r="C259" s="192">
        <f t="shared" si="15"/>
        <v>3.2443735857022364</v>
      </c>
      <c r="D259" s="267">
        <f>MonthlyWorksheet!G258</f>
        <v>22.092595749803181</v>
      </c>
      <c r="E259" s="258">
        <f>MonthlyWorksheet!O258</f>
        <v>151.64421158506732</v>
      </c>
      <c r="F259" s="258">
        <f>MonthlyWorksheet!S258</f>
        <v>71.676634090258929</v>
      </c>
      <c r="G259" s="268">
        <f t="shared" ca="1" si="12"/>
        <v>151.64421158506732</v>
      </c>
      <c r="H259" s="259">
        <f t="shared" ca="1" si="13"/>
        <v>71.676634090258929</v>
      </c>
    </row>
    <row r="260" spans="1:8" ht="15" thickBot="1" x14ac:dyDescent="0.35">
      <c r="A260" s="59">
        <v>48366</v>
      </c>
      <c r="B260" s="192">
        <f t="shared" si="14"/>
        <v>5.9425283155376993</v>
      </c>
      <c r="C260" s="192">
        <f t="shared" si="15"/>
        <v>4.3847333490985561</v>
      </c>
      <c r="D260" s="267">
        <f>MonthlyWorksheet!G259</f>
        <v>22.057819719281039</v>
      </c>
      <c r="E260" s="258">
        <f>MonthlyWorksheet!O259</f>
        <v>131.07921826085339</v>
      </c>
      <c r="F260" s="258">
        <f>MonthlyWorksheet!S259</f>
        <v>96.717657731535326</v>
      </c>
      <c r="G260" s="268">
        <f t="shared" ca="1" si="12"/>
        <v>131.07921826085339</v>
      </c>
      <c r="H260" s="259">
        <f t="shared" ca="1" si="13"/>
        <v>96.717657731535326</v>
      </c>
    </row>
    <row r="261" spans="1:8" ht="15" thickBot="1" x14ac:dyDescent="0.35">
      <c r="A261" s="59">
        <v>48396</v>
      </c>
      <c r="B261" s="192">
        <f t="shared" si="14"/>
        <v>9.3459925645842734</v>
      </c>
      <c r="C261" s="192">
        <f t="shared" si="15"/>
        <v>5.6335518410882459</v>
      </c>
      <c r="D261" s="267">
        <f>MonthlyWorksheet!G260</f>
        <v>22.12737178032533</v>
      </c>
      <c r="E261" s="258">
        <f>MonthlyWorksheet!O260</f>
        <v>206.8022521327124</v>
      </c>
      <c r="F261" s="258">
        <f>MonthlyWorksheet!S260</f>
        <v>124.65569603149586</v>
      </c>
      <c r="G261" s="268">
        <f t="shared" ca="1" si="12"/>
        <v>206.8022521327124</v>
      </c>
      <c r="H261" s="259">
        <f t="shared" ca="1" si="13"/>
        <v>124.65569603149586</v>
      </c>
    </row>
    <row r="262" spans="1:8" ht="15" thickBot="1" x14ac:dyDescent="0.35">
      <c r="A262" s="59">
        <v>48427</v>
      </c>
      <c r="B262" s="192">
        <f t="shared" si="14"/>
        <v>10.907091400010314</v>
      </c>
      <c r="C262" s="192">
        <f t="shared" si="15"/>
        <v>5.8633753864942415</v>
      </c>
      <c r="D262" s="267">
        <f>MonthlyWorksheet!G261</f>
        <v>22.185331831195565</v>
      </c>
      <c r="E262" s="258">
        <f>MonthlyWorksheet!O261</f>
        <v>241.97744202240821</v>
      </c>
      <c r="F262" s="258">
        <f>MonthlyWorksheet!S261</f>
        <v>130.0809286002393</v>
      </c>
      <c r="G262" s="268">
        <f t="shared" ca="1" si="12"/>
        <v>241.97744202240821</v>
      </c>
      <c r="H262" s="259">
        <f t="shared" ca="1" si="13"/>
        <v>130.0809286002393</v>
      </c>
    </row>
    <row r="263" spans="1:8" ht="15" thickBot="1" x14ac:dyDescent="0.35">
      <c r="A263" s="59">
        <v>48458</v>
      </c>
      <c r="B263" s="192">
        <f t="shared" si="14"/>
        <v>8.3193558002295678</v>
      </c>
      <c r="C263" s="192">
        <f t="shared" si="15"/>
        <v>5.1271290953191491</v>
      </c>
      <c r="D263" s="267">
        <f>MonthlyWorksheet!G262</f>
        <v>22.393988014328421</v>
      </c>
      <c r="E263" s="258">
        <f>MonthlyWorksheet!O262</f>
        <v>186.30355407727458</v>
      </c>
      <c r="F263" s="258">
        <f>MonthlyWorksheet!S262</f>
        <v>114.81686750849154</v>
      </c>
      <c r="G263" s="268">
        <f t="shared" ca="1" si="12"/>
        <v>186.30355407727458</v>
      </c>
      <c r="H263" s="259">
        <f t="shared" ca="1" si="13"/>
        <v>114.81686750849154</v>
      </c>
    </row>
    <row r="264" spans="1:8" ht="15" thickBot="1" x14ac:dyDescent="0.35">
      <c r="A264" s="59">
        <v>48488</v>
      </c>
      <c r="B264" s="192">
        <f t="shared" si="14"/>
        <v>9.0650503761597143</v>
      </c>
      <c r="C264" s="192">
        <f t="shared" si="15"/>
        <v>5.3718609197999285</v>
      </c>
      <c r="D264" s="267">
        <f>MonthlyWorksheet!G263</f>
        <v>21.984718739527739</v>
      </c>
      <c r="E264" s="258">
        <f>MonthlyWorksheet!O263</f>
        <v>199.29258287952146</v>
      </c>
      <c r="F264" s="258">
        <f>MonthlyWorksheet!S263</f>
        <v>118.0988514296622</v>
      </c>
      <c r="G264" s="268">
        <f t="shared" ca="1" si="12"/>
        <v>199.29258287952146</v>
      </c>
      <c r="H264" s="259">
        <f t="shared" ca="1" si="13"/>
        <v>118.0988514296622</v>
      </c>
    </row>
    <row r="265" spans="1:8" ht="15" thickBot="1" x14ac:dyDescent="0.35">
      <c r="A265" s="59">
        <v>48519</v>
      </c>
      <c r="B265" s="192">
        <f t="shared" si="14"/>
        <v>8.1475671112600043</v>
      </c>
      <c r="C265" s="192">
        <f t="shared" si="15"/>
        <v>4.8470337681523326</v>
      </c>
      <c r="D265" s="302">
        <f>MonthlyWorksheet!G264</f>
        <v>23.042467773466846</v>
      </c>
      <c r="E265" s="303">
        <f>MonthlyWorksheet!O264</f>
        <v>187.74005259336701</v>
      </c>
      <c r="F265" s="303">
        <f>MonthlyWorksheet!S264</f>
        <v>111.6876193995557</v>
      </c>
      <c r="G265" s="304">
        <f t="shared" ca="1" si="12"/>
        <v>187.74005259336701</v>
      </c>
      <c r="H265" s="305">
        <f t="shared" ca="1" si="13"/>
        <v>111.6876193995557</v>
      </c>
    </row>
    <row r="266" spans="1:8" ht="15" thickBot="1" x14ac:dyDescent="0.35">
      <c r="A266" s="59">
        <v>48549</v>
      </c>
      <c r="B266" s="192">
        <f t="shared" si="14"/>
        <v>7.0535432395959976</v>
      </c>
      <c r="C266" s="192">
        <f t="shared" si="15"/>
        <v>5.2698969899925139</v>
      </c>
      <c r="D266" s="308">
        <f>MonthlyWorksheet!G265</f>
        <v>23.869131995937277</v>
      </c>
      <c r="E266" s="309">
        <f>MonthlyWorksheet!O265</f>
        <v>168.36195462496789</v>
      </c>
      <c r="F266" s="309">
        <f>MonthlyWorksheet!S265</f>
        <v>125.78786685912387</v>
      </c>
      <c r="G266" s="309">
        <f t="shared" ca="1" si="12"/>
        <v>168.36195462496789</v>
      </c>
      <c r="H266" s="310">
        <f t="shared" ca="1" si="13"/>
        <v>125.78786685912387</v>
      </c>
    </row>
    <row r="267" spans="1:8" x14ac:dyDescent="0.3">
      <c r="A267" s="286"/>
      <c r="B267" s="192"/>
      <c r="C267" s="192"/>
      <c r="D267" s="192"/>
      <c r="E267" s="192"/>
      <c r="F267" s="192"/>
      <c r="G267" s="192"/>
      <c r="H267" s="192"/>
    </row>
    <row r="268" spans="1:8" x14ac:dyDescent="0.3">
      <c r="A268" s="286"/>
      <c r="B268" s="192"/>
      <c r="C268" s="192"/>
      <c r="D268" s="192"/>
      <c r="E268" s="192"/>
      <c r="F268" s="192"/>
      <c r="G268" s="192"/>
      <c r="H268" s="192"/>
    </row>
    <row r="269" spans="1:8" x14ac:dyDescent="0.3">
      <c r="A269" s="286"/>
      <c r="B269" s="192"/>
      <c r="C269" s="192"/>
      <c r="D269" s="192"/>
      <c r="E269" s="192"/>
      <c r="F269" s="192"/>
      <c r="G269" s="192"/>
      <c r="H269" s="192"/>
    </row>
    <row r="270" spans="1:8" x14ac:dyDescent="0.3">
      <c r="A270" s="286"/>
      <c r="B270" s="192"/>
      <c r="C270" s="192"/>
      <c r="D270" s="192"/>
      <c r="E270" s="192"/>
      <c r="F270" s="192"/>
      <c r="G270" s="192"/>
      <c r="H270" s="192"/>
    </row>
    <row r="271" spans="1:8" x14ac:dyDescent="0.3">
      <c r="A271" s="286"/>
      <c r="B271" s="192"/>
      <c r="C271" s="192"/>
      <c r="D271" s="192"/>
      <c r="E271" s="192"/>
      <c r="F271" s="192"/>
      <c r="G271" s="192"/>
      <c r="H271" s="192"/>
    </row>
    <row r="272" spans="1:8" x14ac:dyDescent="0.3">
      <c r="A272" s="286"/>
      <c r="B272" s="192"/>
      <c r="C272" s="192"/>
      <c r="D272" s="192"/>
      <c r="E272" s="192"/>
      <c r="F272" s="192"/>
      <c r="G272" s="192"/>
      <c r="H272" s="192"/>
    </row>
    <row r="273" spans="1:8" x14ac:dyDescent="0.3">
      <c r="A273" s="286"/>
      <c r="B273" s="192"/>
      <c r="C273" s="192"/>
      <c r="D273" s="192"/>
      <c r="E273" s="192"/>
      <c r="F273" s="192"/>
      <c r="G273" s="192"/>
      <c r="H273" s="192"/>
    </row>
    <row r="274" spans="1:8" x14ac:dyDescent="0.3">
      <c r="A274" s="286"/>
      <c r="B274" s="192"/>
      <c r="C274" s="192"/>
      <c r="D274" s="192"/>
      <c r="E274" s="192"/>
      <c r="F274" s="192"/>
      <c r="G274" s="192"/>
      <c r="H274" s="192"/>
    </row>
    <row r="275" spans="1:8" x14ac:dyDescent="0.3">
      <c r="A275" s="286"/>
      <c r="B275" s="192"/>
      <c r="C275" s="192"/>
      <c r="D275" s="192"/>
      <c r="E275" s="192"/>
      <c r="F275" s="192"/>
      <c r="G275" s="192"/>
      <c r="H275" s="192"/>
    </row>
    <row r="276" spans="1:8" x14ac:dyDescent="0.3">
      <c r="A276" s="286"/>
      <c r="B276" s="192"/>
      <c r="C276" s="192"/>
      <c r="D276" s="192"/>
      <c r="E276" s="192"/>
      <c r="F276" s="192"/>
      <c r="G276" s="192"/>
      <c r="H276" s="192"/>
    </row>
    <row r="277" spans="1:8" x14ac:dyDescent="0.3">
      <c r="A277" s="286"/>
      <c r="B277" s="192"/>
      <c r="C277" s="192"/>
      <c r="D277" s="192"/>
      <c r="E277" s="192"/>
      <c r="F277" s="192"/>
      <c r="G277" s="192"/>
      <c r="H277" s="192"/>
    </row>
    <row r="278" spans="1:8" x14ac:dyDescent="0.3">
      <c r="A278" s="286"/>
      <c r="B278" s="192"/>
      <c r="C278" s="192"/>
      <c r="D278" s="192"/>
      <c r="E278" s="192"/>
      <c r="F278" s="192"/>
      <c r="G278" s="192"/>
      <c r="H278" s="192"/>
    </row>
    <row r="279" spans="1:8" x14ac:dyDescent="0.3">
      <c r="A279" s="286"/>
      <c r="B279" s="192"/>
      <c r="C279" s="192"/>
      <c r="D279" s="192"/>
      <c r="E279" s="192"/>
      <c r="F279" s="192"/>
      <c r="G279" s="192"/>
      <c r="H279" s="192"/>
    </row>
    <row r="280" spans="1:8" x14ac:dyDescent="0.3">
      <c r="A280" s="286"/>
      <c r="B280" s="192"/>
      <c r="C280" s="192"/>
      <c r="D280" s="192"/>
      <c r="E280" s="192"/>
      <c r="F280" s="192"/>
      <c r="G280" s="192"/>
      <c r="H280" s="192"/>
    </row>
    <row r="281" spans="1:8" x14ac:dyDescent="0.3">
      <c r="A281" s="286"/>
      <c r="B281" s="192"/>
      <c r="C281" s="192"/>
      <c r="D281" s="192"/>
      <c r="E281" s="192"/>
      <c r="F281" s="192"/>
      <c r="G281" s="192"/>
      <c r="H281" s="192"/>
    </row>
    <row r="282" spans="1:8" x14ac:dyDescent="0.3">
      <c r="A282" s="286"/>
      <c r="B282" s="192"/>
      <c r="C282" s="192"/>
      <c r="D282" s="192"/>
      <c r="E282" s="192"/>
      <c r="F282" s="192"/>
      <c r="G282" s="192"/>
      <c r="H282" s="192"/>
    </row>
    <row r="283" spans="1:8" x14ac:dyDescent="0.3">
      <c r="A283" s="286"/>
      <c r="B283" s="192"/>
      <c r="C283" s="192"/>
      <c r="D283" s="192"/>
      <c r="E283" s="192"/>
      <c r="F283" s="192"/>
      <c r="G283" s="192"/>
      <c r="H283" s="192"/>
    </row>
    <row r="284" spans="1:8" x14ac:dyDescent="0.3">
      <c r="A284" s="286"/>
      <c r="B284" s="192"/>
      <c r="C284" s="192"/>
      <c r="D284" s="192"/>
      <c r="E284" s="192"/>
      <c r="F284" s="192"/>
      <c r="G284" s="192"/>
      <c r="H284" s="192"/>
    </row>
    <row r="285" spans="1:8" x14ac:dyDescent="0.3">
      <c r="A285" s="286"/>
      <c r="B285" s="192"/>
      <c r="C285" s="192"/>
      <c r="D285" s="192"/>
      <c r="E285" s="192"/>
      <c r="F285" s="192"/>
      <c r="G285" s="192"/>
      <c r="H285" s="192"/>
    </row>
    <row r="286" spans="1:8" x14ac:dyDescent="0.3">
      <c r="A286" s="286"/>
      <c r="B286" s="192"/>
      <c r="C286" s="192"/>
      <c r="D286" s="192"/>
      <c r="E286" s="192"/>
      <c r="F286" s="192"/>
      <c r="G286" s="192"/>
      <c r="H286" s="192"/>
    </row>
    <row r="287" spans="1:8" x14ac:dyDescent="0.3">
      <c r="A287" s="286"/>
      <c r="B287" s="192"/>
      <c r="C287" s="192"/>
      <c r="D287" s="192"/>
      <c r="E287" s="192"/>
      <c r="F287" s="192"/>
      <c r="G287" s="192"/>
      <c r="H287" s="192"/>
    </row>
    <row r="288" spans="1:8" x14ac:dyDescent="0.3">
      <c r="A288" s="286"/>
      <c r="B288" s="192"/>
      <c r="C288" s="192"/>
      <c r="D288" s="192"/>
      <c r="E288" s="192"/>
      <c r="F288" s="192"/>
      <c r="G288" s="192"/>
      <c r="H288" s="192"/>
    </row>
    <row r="289" spans="1:8" x14ac:dyDescent="0.3">
      <c r="A289" s="286"/>
      <c r="B289" s="192"/>
      <c r="C289" s="192"/>
      <c r="D289" s="192"/>
      <c r="E289" s="192"/>
      <c r="F289" s="192"/>
      <c r="G289" s="192"/>
      <c r="H289" s="192"/>
    </row>
    <row r="290" spans="1:8" x14ac:dyDescent="0.3">
      <c r="A290" s="286"/>
      <c r="B290" s="192"/>
      <c r="C290" s="192"/>
      <c r="D290" s="192"/>
      <c r="E290" s="192"/>
      <c r="F290" s="192"/>
      <c r="G290" s="192"/>
      <c r="H290" s="192"/>
    </row>
  </sheetData>
  <mergeCells count="6">
    <mergeCell ref="G7:H7"/>
    <mergeCell ref="AA7:AB7"/>
    <mergeCell ref="E8:F8"/>
    <mergeCell ref="G8:H8"/>
    <mergeCell ref="X8:Y8"/>
    <mergeCell ref="AA8:A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01"/>
  <sheetViews>
    <sheetView topLeftCell="A37" workbookViewId="0">
      <selection activeCell="O26" sqref="O26"/>
    </sheetView>
  </sheetViews>
  <sheetFormatPr defaultColWidth="8.88671875" defaultRowHeight="14.4" x14ac:dyDescent="0.3"/>
  <cols>
    <col min="1" max="1" width="21.109375" customWidth="1"/>
    <col min="2" max="2" width="21.88671875" customWidth="1"/>
    <col min="3" max="3" width="21.109375" hidden="1" customWidth="1"/>
    <col min="4" max="4" width="2.6640625" customWidth="1"/>
    <col min="5" max="5" width="11.44140625" customWidth="1"/>
    <col min="6" max="6" width="2.44140625" customWidth="1"/>
    <col min="7" max="7" width="12.109375" customWidth="1"/>
    <col min="8" max="8" width="2.88671875" customWidth="1"/>
    <col min="9" max="9" width="10.88671875" customWidth="1"/>
    <col min="10" max="10" width="3.109375" customWidth="1"/>
    <col min="11" max="11" width="11" customWidth="1"/>
    <col min="12" max="12" width="3.44140625" customWidth="1"/>
    <col min="13" max="13" width="10.6640625" customWidth="1"/>
    <col min="14" max="14" width="3.33203125" customWidth="1"/>
    <col min="15" max="15" width="10.6640625" customWidth="1"/>
    <col min="16" max="16" width="2.88671875" customWidth="1"/>
    <col min="17" max="17" width="12.6640625" hidden="1" customWidth="1"/>
    <col min="18" max="18" width="12.6640625" customWidth="1"/>
    <col min="19" max="19" width="11.44140625" customWidth="1"/>
    <col min="20" max="20" width="10.6640625" customWidth="1"/>
    <col min="21" max="21" width="3.33203125" customWidth="1"/>
    <col min="22" max="22" width="10.6640625" customWidth="1"/>
    <col min="23" max="23" width="3.33203125" customWidth="1"/>
    <col min="24" max="24" width="12.44140625" customWidth="1"/>
    <col min="25" max="25" width="12.6640625" style="144" customWidth="1"/>
    <col min="26" max="26" width="2" style="144" customWidth="1"/>
    <col min="27" max="28" width="12.6640625" style="144" customWidth="1"/>
    <col min="29" max="29" width="3.44140625" customWidth="1"/>
    <col min="30" max="47" width="9.6640625" customWidth="1"/>
    <col min="48" max="51" width="9.6640625" style="145" customWidth="1"/>
    <col min="52" max="52" width="9.6640625" customWidth="1"/>
  </cols>
  <sheetData>
    <row r="1" spans="1:52" ht="18" x14ac:dyDescent="0.25">
      <c r="A1" s="141" t="s">
        <v>63</v>
      </c>
      <c r="G1" s="142"/>
      <c r="O1" s="143"/>
      <c r="S1" s="143"/>
    </row>
    <row r="2" spans="1:52" ht="15.75" x14ac:dyDescent="0.25">
      <c r="A2" s="146" t="s">
        <v>64</v>
      </c>
      <c r="G2" s="142" t="s">
        <v>65</v>
      </c>
      <c r="O2" s="143" t="s">
        <v>66</v>
      </c>
      <c r="S2" s="143" t="s">
        <v>67</v>
      </c>
    </row>
    <row r="3" spans="1:52" ht="15" x14ac:dyDescent="0.25">
      <c r="A3" s="147" t="s">
        <v>68</v>
      </c>
      <c r="G3" s="142"/>
      <c r="O3" s="143" t="s">
        <v>69</v>
      </c>
      <c r="S3" s="143" t="s">
        <v>69</v>
      </c>
    </row>
    <row r="4" spans="1:52" ht="15.75" thickBot="1" x14ac:dyDescent="0.3">
      <c r="O4" s="143" t="s">
        <v>70</v>
      </c>
      <c r="S4" s="143" t="s">
        <v>70</v>
      </c>
    </row>
    <row r="5" spans="1:52" ht="15" x14ac:dyDescent="0.25">
      <c r="A5" s="148" t="s">
        <v>12</v>
      </c>
      <c r="B5" s="46"/>
      <c r="C5" s="149">
        <v>2011</v>
      </c>
      <c r="D5" s="46"/>
      <c r="E5" s="149">
        <f>C5+1</f>
        <v>2012</v>
      </c>
      <c r="F5" s="46"/>
      <c r="G5" s="149"/>
      <c r="H5" s="46"/>
      <c r="I5" s="149"/>
      <c r="J5" s="46"/>
      <c r="K5" s="150"/>
      <c r="O5" s="143"/>
      <c r="S5" s="143"/>
    </row>
    <row r="6" spans="1:52" ht="15.75" thickBot="1" x14ac:dyDescent="0.3">
      <c r="A6" s="151" t="s">
        <v>71</v>
      </c>
      <c r="B6" s="152"/>
      <c r="C6" s="153">
        <v>0.17</v>
      </c>
      <c r="D6" s="154"/>
      <c r="E6" s="153">
        <f>C6*1.027</f>
        <v>0.17459</v>
      </c>
      <c r="F6" s="154"/>
      <c r="G6" s="153"/>
      <c r="H6" s="154"/>
      <c r="I6" s="153"/>
      <c r="J6" s="154"/>
      <c r="K6" s="153"/>
      <c r="O6" s="143"/>
      <c r="S6" s="143"/>
      <c r="AD6" s="155"/>
    </row>
    <row r="7" spans="1:52" ht="15.75" thickBot="1" x14ac:dyDescent="0.3">
      <c r="A7" s="155"/>
      <c r="G7" s="30"/>
      <c r="Q7" s="156"/>
      <c r="X7" s="355"/>
      <c r="Y7" s="355"/>
      <c r="Z7" s="157"/>
      <c r="AA7" s="355"/>
      <c r="AB7" s="355"/>
      <c r="AC7" s="156"/>
      <c r="AD7" s="156"/>
      <c r="AE7" s="158"/>
      <c r="AF7" s="156"/>
      <c r="AG7" s="156"/>
      <c r="AH7" s="156"/>
      <c r="AI7" s="156"/>
      <c r="AJ7" s="156"/>
      <c r="AM7" s="159" t="s">
        <v>72</v>
      </c>
      <c r="AU7" s="159" t="s">
        <v>73</v>
      </c>
    </row>
    <row r="8" spans="1:52" ht="15.75" thickBot="1" x14ac:dyDescent="0.3">
      <c r="A8" s="43"/>
      <c r="B8" s="46"/>
      <c r="C8" s="160"/>
      <c r="D8" s="161"/>
      <c r="E8" s="162" t="s">
        <v>12</v>
      </c>
      <c r="F8" s="161"/>
      <c r="G8" s="163" t="s">
        <v>28</v>
      </c>
      <c r="H8" s="161"/>
      <c r="I8" s="164" t="s">
        <v>12</v>
      </c>
      <c r="J8" s="161"/>
      <c r="K8" s="164" t="s">
        <v>12</v>
      </c>
      <c r="L8" s="161"/>
      <c r="M8" s="165" t="s">
        <v>28</v>
      </c>
      <c r="N8" s="161"/>
      <c r="O8" s="163" t="s">
        <v>28</v>
      </c>
      <c r="P8" s="160"/>
      <c r="Q8" s="160"/>
      <c r="R8" s="163" t="s">
        <v>74</v>
      </c>
      <c r="S8" s="163" t="s">
        <v>28</v>
      </c>
      <c r="T8" s="166"/>
      <c r="U8" s="166"/>
      <c r="V8" s="166"/>
      <c r="W8" s="166"/>
      <c r="X8" s="166"/>
      <c r="Y8" s="166"/>
      <c r="Z8" s="166"/>
      <c r="AA8" s="166"/>
      <c r="AB8" s="166"/>
      <c r="AC8" s="167"/>
      <c r="AD8" s="168"/>
      <c r="AE8" s="169"/>
      <c r="AF8" s="169"/>
      <c r="AG8" s="169"/>
      <c r="AH8" s="169"/>
      <c r="AI8" s="169"/>
      <c r="AJ8" s="169"/>
      <c r="AL8" s="155" t="s">
        <v>75</v>
      </c>
      <c r="AM8" s="170" t="s">
        <v>76</v>
      </c>
      <c r="AN8" s="170" t="s">
        <v>77</v>
      </c>
      <c r="AO8" s="170" t="s">
        <v>78</v>
      </c>
      <c r="AP8" s="170" t="s">
        <v>79</v>
      </c>
      <c r="AQ8" s="170" t="s">
        <v>80</v>
      </c>
      <c r="AR8" s="170" t="s">
        <v>81</v>
      </c>
      <c r="AT8" s="155" t="s">
        <v>75</v>
      </c>
      <c r="AU8" s="170" t="s">
        <v>76</v>
      </c>
      <c r="AV8" s="170" t="s">
        <v>77</v>
      </c>
      <c r="AW8" s="170" t="s">
        <v>78</v>
      </c>
      <c r="AX8" s="170" t="s">
        <v>79</v>
      </c>
      <c r="AY8" s="170" t="s">
        <v>80</v>
      </c>
      <c r="AZ8" s="171" t="s">
        <v>81</v>
      </c>
    </row>
    <row r="9" spans="1:52" ht="15" x14ac:dyDescent="0.25">
      <c r="A9" s="48"/>
      <c r="B9" s="12"/>
      <c r="C9" s="172"/>
      <c r="D9" s="173"/>
      <c r="E9" s="173" t="s">
        <v>82</v>
      </c>
      <c r="F9" s="173"/>
      <c r="G9" s="173" t="s">
        <v>83</v>
      </c>
      <c r="H9" s="173"/>
      <c r="I9" s="174" t="s">
        <v>84</v>
      </c>
      <c r="J9" s="173"/>
      <c r="K9" s="174" t="s">
        <v>85</v>
      </c>
      <c r="L9" s="173"/>
      <c r="M9" s="174" t="s">
        <v>86</v>
      </c>
      <c r="N9" s="173"/>
      <c r="O9" s="173" t="s">
        <v>87</v>
      </c>
      <c r="P9" s="173"/>
      <c r="Q9" s="172"/>
      <c r="R9" s="175" t="s">
        <v>86</v>
      </c>
      <c r="S9" s="173" t="s">
        <v>88</v>
      </c>
      <c r="T9" s="172"/>
      <c r="U9" s="172"/>
      <c r="V9" s="172"/>
      <c r="W9" s="173"/>
      <c r="X9" s="172"/>
      <c r="Y9" s="172"/>
      <c r="Z9" s="172"/>
      <c r="AA9" s="172"/>
      <c r="AB9" s="172"/>
      <c r="AC9" s="176"/>
      <c r="AD9" s="176"/>
      <c r="AE9" s="177"/>
      <c r="AF9" s="177"/>
      <c r="AG9" s="177"/>
      <c r="AH9" s="177"/>
      <c r="AI9" s="177"/>
      <c r="AJ9" s="178"/>
      <c r="AL9" s="179">
        <f t="shared" ref="AL9:AL20" si="0">AD9</f>
        <v>0</v>
      </c>
      <c r="AM9" s="180">
        <f t="shared" ref="AM9:AM20" si="1">X11</f>
        <v>0</v>
      </c>
      <c r="AN9" s="180">
        <f t="shared" ref="AN9:AN20" si="2">X23</f>
        <v>0</v>
      </c>
      <c r="AO9" s="180">
        <f t="shared" ref="AO9:AO20" si="3">X35</f>
        <v>0</v>
      </c>
      <c r="AP9" s="180">
        <f t="shared" ref="AP9:AP20" si="4">X47</f>
        <v>0</v>
      </c>
      <c r="AQ9" s="180">
        <f t="shared" ref="AQ9:AQ20" si="5">AVERAGE(AM9:AP9)</f>
        <v>0</v>
      </c>
      <c r="AR9" s="181" t="e">
        <f t="shared" ref="AR9:AR20" si="6">AQ9/SUM($AQ$9:$AQ$20)</f>
        <v>#DIV/0!</v>
      </c>
      <c r="AT9" s="179">
        <f t="shared" ref="AT9:AT20" si="7">AL9</f>
        <v>0</v>
      </c>
      <c r="AU9" s="180"/>
      <c r="AV9" s="180">
        <f>Y23</f>
        <v>0</v>
      </c>
      <c r="AW9" s="180">
        <f>Y35</f>
        <v>0</v>
      </c>
      <c r="AX9" s="180">
        <f>Y47</f>
        <v>0</v>
      </c>
      <c r="AY9" s="180">
        <f t="shared" ref="AY9:AY20" si="8">AVERAGE(AU9:AX9)</f>
        <v>0</v>
      </c>
      <c r="AZ9" s="181" t="e">
        <f>AY9/SUM($AY$9:$AY$20)</f>
        <v>#DIV/0!</v>
      </c>
    </row>
    <row r="10" spans="1:52" ht="15.75" thickBot="1" x14ac:dyDescent="0.3">
      <c r="A10" s="182" t="s">
        <v>29</v>
      </c>
      <c r="B10" s="183"/>
      <c r="C10" s="184"/>
      <c r="D10" s="185"/>
      <c r="E10" s="185" t="s">
        <v>89</v>
      </c>
      <c r="F10" s="185"/>
      <c r="G10" s="186" t="s">
        <v>90</v>
      </c>
      <c r="H10" s="185"/>
      <c r="I10" s="187" t="s">
        <v>91</v>
      </c>
      <c r="J10" s="185"/>
      <c r="K10" s="187" t="s">
        <v>91</v>
      </c>
      <c r="L10" s="185"/>
      <c r="M10" s="188" t="s">
        <v>92</v>
      </c>
      <c r="N10" s="185"/>
      <c r="O10" s="185" t="s">
        <v>91</v>
      </c>
      <c r="P10" s="185"/>
      <c r="Q10" s="189"/>
      <c r="R10" s="188" t="s">
        <v>93</v>
      </c>
      <c r="S10" s="185" t="s">
        <v>91</v>
      </c>
      <c r="T10" s="172"/>
      <c r="U10" s="172"/>
      <c r="V10" s="172"/>
      <c r="W10" s="173"/>
      <c r="X10" s="172"/>
      <c r="Y10" s="172"/>
      <c r="Z10" s="172"/>
      <c r="AA10" s="172"/>
      <c r="AB10" s="172"/>
      <c r="AC10" s="176"/>
      <c r="AD10" s="176"/>
      <c r="AE10" s="177"/>
      <c r="AF10" s="177"/>
      <c r="AG10" s="177"/>
      <c r="AH10" s="177"/>
      <c r="AI10" s="177"/>
      <c r="AJ10" s="178"/>
      <c r="AL10" s="179">
        <f t="shared" si="0"/>
        <v>0</v>
      </c>
      <c r="AM10" s="180">
        <f t="shared" si="1"/>
        <v>0</v>
      </c>
      <c r="AN10" s="180">
        <f t="shared" si="2"/>
        <v>0</v>
      </c>
      <c r="AO10" s="180">
        <f t="shared" si="3"/>
        <v>0</v>
      </c>
      <c r="AP10" s="180">
        <f t="shared" si="4"/>
        <v>0</v>
      </c>
      <c r="AQ10" s="180">
        <f t="shared" si="5"/>
        <v>0</v>
      </c>
      <c r="AR10" s="181" t="e">
        <f t="shared" si="6"/>
        <v>#DIV/0!</v>
      </c>
      <c r="AT10" s="179">
        <f t="shared" si="7"/>
        <v>0</v>
      </c>
      <c r="AU10" s="180">
        <f t="shared" ref="AU10:AU20" si="9">Y12</f>
        <v>0</v>
      </c>
      <c r="AV10" s="180">
        <f t="shared" ref="AV10:AV20" si="10">Y24</f>
        <v>0</v>
      </c>
      <c r="AW10" s="180">
        <f t="shared" ref="AW10:AW20" si="11">Y36</f>
        <v>0</v>
      </c>
      <c r="AX10" s="180">
        <f t="shared" ref="AX10:AX20" si="12">Y48</f>
        <v>0</v>
      </c>
      <c r="AY10" s="180">
        <f t="shared" si="8"/>
        <v>0</v>
      </c>
      <c r="AZ10" s="181" t="e">
        <f t="shared" ref="AZ10:AZ20" si="13">AY10/SUM($AY$9:$AY$20)</f>
        <v>#DIV/0!</v>
      </c>
    </row>
    <row r="11" spans="1:52" s="156" customFormat="1" ht="15.75" thickBot="1" x14ac:dyDescent="0.3">
      <c r="A11" s="190"/>
      <c r="C11" s="191"/>
      <c r="D11" s="192"/>
      <c r="E11" s="191"/>
      <c r="F11" s="192"/>
      <c r="G11" s="192"/>
      <c r="H11" s="33"/>
      <c r="I11" s="193"/>
      <c r="J11" s="194"/>
      <c r="K11" s="193"/>
      <c r="L11" s="97"/>
      <c r="M11" s="195"/>
      <c r="N11" s="196"/>
      <c r="O11" s="196"/>
      <c r="P11" s="196"/>
      <c r="Q11" s="196"/>
      <c r="R11" s="195"/>
      <c r="S11" s="196"/>
      <c r="T11" s="196"/>
      <c r="U11" s="196"/>
      <c r="V11" s="196"/>
      <c r="W11" s="196"/>
      <c r="X11" s="196"/>
      <c r="Y11" s="197"/>
      <c r="Z11" s="197"/>
      <c r="AA11" s="197"/>
      <c r="AB11" s="197"/>
      <c r="AC11" s="196"/>
      <c r="AD11" s="176"/>
      <c r="AE11" s="177"/>
      <c r="AF11" s="177"/>
      <c r="AG11" s="177"/>
      <c r="AH11" s="177"/>
      <c r="AI11" s="177"/>
      <c r="AJ11" s="178"/>
      <c r="AL11" s="176">
        <f t="shared" si="0"/>
        <v>0</v>
      </c>
      <c r="AM11" s="198">
        <f t="shared" si="1"/>
        <v>0</v>
      </c>
      <c r="AN11" s="198">
        <f t="shared" si="2"/>
        <v>0</v>
      </c>
      <c r="AO11" s="198">
        <f t="shared" si="3"/>
        <v>0</v>
      </c>
      <c r="AP11" s="198">
        <f t="shared" si="4"/>
        <v>0</v>
      </c>
      <c r="AQ11" s="198">
        <f t="shared" si="5"/>
        <v>0</v>
      </c>
      <c r="AR11" s="178" t="e">
        <f t="shared" si="6"/>
        <v>#DIV/0!</v>
      </c>
      <c r="AT11" s="176">
        <f t="shared" si="7"/>
        <v>0</v>
      </c>
      <c r="AU11" s="198">
        <f t="shared" si="9"/>
        <v>0</v>
      </c>
      <c r="AV11" s="198">
        <f t="shared" si="10"/>
        <v>0</v>
      </c>
      <c r="AW11" s="198">
        <f t="shared" si="11"/>
        <v>0</v>
      </c>
      <c r="AX11" s="198">
        <f t="shared" si="12"/>
        <v>0</v>
      </c>
      <c r="AY11" s="198">
        <f t="shared" si="8"/>
        <v>0</v>
      </c>
      <c r="AZ11" s="178" t="e">
        <f t="shared" si="13"/>
        <v>#DIV/0!</v>
      </c>
    </row>
    <row r="12" spans="1:52" s="156" customFormat="1" ht="105.75" thickBot="1" x14ac:dyDescent="0.3">
      <c r="A12" s="199" t="s">
        <v>94</v>
      </c>
      <c r="B12" s="200" t="s">
        <v>95</v>
      </c>
      <c r="C12" s="201"/>
      <c r="D12" s="97"/>
      <c r="E12" s="201"/>
      <c r="F12" s="192"/>
      <c r="G12" s="202"/>
      <c r="I12" s="193"/>
      <c r="J12" s="203"/>
      <c r="K12" s="193"/>
      <c r="L12" s="97"/>
      <c r="M12" s="195"/>
      <c r="N12" s="196"/>
      <c r="O12" s="204"/>
      <c r="P12" s="196"/>
      <c r="Q12" s="196"/>
      <c r="R12" s="195"/>
      <c r="S12" s="205"/>
      <c r="T12" s="196"/>
      <c r="U12" s="196"/>
      <c r="V12" s="196"/>
      <c r="W12" s="196"/>
      <c r="X12" s="196"/>
      <c r="Y12" s="197"/>
      <c r="Z12" s="197"/>
      <c r="AA12" s="197"/>
      <c r="AB12" s="197"/>
      <c r="AC12" s="196"/>
      <c r="AD12" s="176"/>
      <c r="AE12" s="177"/>
      <c r="AF12" s="177"/>
      <c r="AG12" s="177"/>
      <c r="AH12" s="177"/>
      <c r="AI12" s="177"/>
      <c r="AJ12" s="178"/>
      <c r="AL12" s="176">
        <f t="shared" si="0"/>
        <v>0</v>
      </c>
      <c r="AM12" s="198">
        <f t="shared" si="1"/>
        <v>0</v>
      </c>
      <c r="AN12" s="198">
        <f t="shared" si="2"/>
        <v>0</v>
      </c>
      <c r="AO12" s="198">
        <f t="shared" si="3"/>
        <v>0</v>
      </c>
      <c r="AP12" s="198">
        <f t="shared" si="4"/>
        <v>0</v>
      </c>
      <c r="AQ12" s="198">
        <f t="shared" si="5"/>
        <v>0</v>
      </c>
      <c r="AR12" s="178" t="e">
        <f t="shared" si="6"/>
        <v>#DIV/0!</v>
      </c>
      <c r="AT12" s="176">
        <f t="shared" si="7"/>
        <v>0</v>
      </c>
      <c r="AU12" s="198">
        <f t="shared" si="9"/>
        <v>0</v>
      </c>
      <c r="AV12" s="198">
        <f t="shared" si="10"/>
        <v>0</v>
      </c>
      <c r="AW12" s="198">
        <f t="shared" si="11"/>
        <v>0</v>
      </c>
      <c r="AX12" s="198">
        <f t="shared" si="12"/>
        <v>0</v>
      </c>
      <c r="AY12" s="198">
        <f t="shared" si="8"/>
        <v>0</v>
      </c>
      <c r="AZ12" s="178" t="e">
        <f t="shared" si="13"/>
        <v>#DIV/0!</v>
      </c>
    </row>
    <row r="13" spans="1:52" s="156" customFormat="1" ht="15" x14ac:dyDescent="0.25">
      <c r="A13" s="190"/>
      <c r="C13" s="201"/>
      <c r="D13" s="97"/>
      <c r="E13" s="201"/>
      <c r="F13" s="192"/>
      <c r="G13" s="97"/>
      <c r="I13" s="193"/>
      <c r="J13" s="203"/>
      <c r="K13" s="193"/>
      <c r="L13" s="97"/>
      <c r="M13" s="195"/>
      <c r="N13" s="196"/>
      <c r="O13" s="196"/>
      <c r="P13" s="196"/>
      <c r="Q13" s="196"/>
      <c r="R13" s="195"/>
      <c r="S13" s="196"/>
      <c r="T13" s="196"/>
      <c r="U13" s="196"/>
      <c r="V13" s="196"/>
      <c r="W13" s="196"/>
      <c r="X13" s="196"/>
      <c r="Y13" s="197"/>
      <c r="Z13" s="197"/>
      <c r="AA13" s="197"/>
      <c r="AB13" s="197"/>
      <c r="AC13" s="196"/>
      <c r="AD13" s="176"/>
      <c r="AE13" s="177"/>
      <c r="AF13" s="177"/>
      <c r="AG13" s="177"/>
      <c r="AH13" s="177"/>
      <c r="AI13" s="177"/>
      <c r="AJ13" s="178"/>
      <c r="AL13" s="176">
        <f t="shared" si="0"/>
        <v>0</v>
      </c>
      <c r="AM13" s="198">
        <f t="shared" si="1"/>
        <v>0</v>
      </c>
      <c r="AN13" s="198">
        <f t="shared" si="2"/>
        <v>0</v>
      </c>
      <c r="AO13" s="198">
        <f t="shared" si="3"/>
        <v>0</v>
      </c>
      <c r="AP13" s="198">
        <f t="shared" si="4"/>
        <v>0</v>
      </c>
      <c r="AQ13" s="198">
        <f t="shared" si="5"/>
        <v>0</v>
      </c>
      <c r="AR13" s="178" t="e">
        <f t="shared" si="6"/>
        <v>#DIV/0!</v>
      </c>
      <c r="AT13" s="176">
        <f t="shared" si="7"/>
        <v>0</v>
      </c>
      <c r="AU13" s="198">
        <f t="shared" si="9"/>
        <v>0</v>
      </c>
      <c r="AV13" s="198">
        <f t="shared" si="10"/>
        <v>0</v>
      </c>
      <c r="AW13" s="198">
        <f t="shared" si="11"/>
        <v>0</v>
      </c>
      <c r="AX13" s="198">
        <f t="shared" si="12"/>
        <v>0</v>
      </c>
      <c r="AY13" s="198">
        <f t="shared" si="8"/>
        <v>0</v>
      </c>
      <c r="AZ13" s="178" t="e">
        <f t="shared" si="13"/>
        <v>#DIV/0!</v>
      </c>
    </row>
    <row r="14" spans="1:52" s="207" customFormat="1" ht="15" x14ac:dyDescent="0.25">
      <c r="A14" s="206">
        <v>40909</v>
      </c>
      <c r="B14" s="207" t="s">
        <v>96</v>
      </c>
      <c r="C14" s="208"/>
      <c r="D14" s="209"/>
      <c r="E14" s="208">
        <v>3.5649999999999999</v>
      </c>
      <c r="F14" s="210"/>
      <c r="G14" s="211">
        <f>E14+$E$6</f>
        <v>3.7395899999999997</v>
      </c>
      <c r="I14" s="212">
        <v>34.941696428571433</v>
      </c>
      <c r="J14" s="213"/>
      <c r="K14" s="212">
        <v>25.505882352941171</v>
      </c>
      <c r="L14" s="209"/>
      <c r="M14" s="214">
        <f t="shared" ref="M14:M25" si="14">I14/G14</f>
        <v>9.343723891809379</v>
      </c>
      <c r="N14" s="215"/>
      <c r="O14" s="205"/>
      <c r="P14" s="215"/>
      <c r="Q14" s="215"/>
      <c r="R14" s="214">
        <f t="shared" ref="R14:R25" si="15">K14/G14</f>
        <v>6.8205023419522393</v>
      </c>
      <c r="S14" s="205"/>
      <c r="T14" s="215"/>
      <c r="U14" s="215"/>
      <c r="V14" s="215"/>
      <c r="W14" s="215"/>
      <c r="X14" s="215"/>
      <c r="Y14" s="216"/>
      <c r="Z14" s="216"/>
      <c r="AA14" s="216"/>
      <c r="AB14" s="216"/>
      <c r="AC14" s="215"/>
      <c r="AD14" s="217"/>
      <c r="AE14" s="218"/>
      <c r="AF14" s="218"/>
      <c r="AG14" s="218"/>
      <c r="AH14" s="218"/>
      <c r="AI14" s="218"/>
      <c r="AJ14" s="219"/>
      <c r="AL14" s="217">
        <f t="shared" si="0"/>
        <v>0</v>
      </c>
      <c r="AM14" s="220">
        <f t="shared" si="1"/>
        <v>0</v>
      </c>
      <c r="AN14" s="220">
        <f t="shared" si="2"/>
        <v>0</v>
      </c>
      <c r="AO14" s="220">
        <f t="shared" si="3"/>
        <v>0</v>
      </c>
      <c r="AP14" s="220">
        <f t="shared" si="4"/>
        <v>0</v>
      </c>
      <c r="AQ14" s="220">
        <f t="shared" si="5"/>
        <v>0</v>
      </c>
      <c r="AR14" s="219" t="e">
        <f t="shared" si="6"/>
        <v>#DIV/0!</v>
      </c>
      <c r="AT14" s="217">
        <f t="shared" si="7"/>
        <v>0</v>
      </c>
      <c r="AU14" s="220">
        <f t="shared" si="9"/>
        <v>0</v>
      </c>
      <c r="AV14" s="220">
        <f t="shared" si="10"/>
        <v>0</v>
      </c>
      <c r="AW14" s="220">
        <f t="shared" si="11"/>
        <v>0</v>
      </c>
      <c r="AX14" s="220">
        <f t="shared" si="12"/>
        <v>0</v>
      </c>
      <c r="AY14" s="220">
        <f t="shared" si="8"/>
        <v>0</v>
      </c>
      <c r="AZ14" s="219" t="e">
        <f t="shared" si="13"/>
        <v>#DIV/0!</v>
      </c>
    </row>
    <row r="15" spans="1:52" s="207" customFormat="1" ht="15" x14ac:dyDescent="0.25">
      <c r="A15" s="206">
        <v>40940</v>
      </c>
      <c r="B15" s="207" t="s">
        <v>96</v>
      </c>
      <c r="C15" s="208"/>
      <c r="D15" s="209"/>
      <c r="E15" s="208">
        <v>3.67</v>
      </c>
      <c r="F15" s="210"/>
      <c r="G15" s="211">
        <f t="shared" ref="G15:G25" si="16">E15+$E$6</f>
        <v>3.8445899999999997</v>
      </c>
      <c r="I15" s="212">
        <v>34.205281250000013</v>
      </c>
      <c r="J15" s="213"/>
      <c r="K15" s="212">
        <v>22.011306818181815</v>
      </c>
      <c r="L15" s="209"/>
      <c r="M15" s="214">
        <f t="shared" si="14"/>
        <v>8.8969906413947957</v>
      </c>
      <c r="N15" s="215"/>
      <c r="O15" s="205"/>
      <c r="P15" s="215"/>
      <c r="Q15" s="215"/>
      <c r="R15" s="214">
        <f t="shared" si="15"/>
        <v>5.7252676665604962</v>
      </c>
      <c r="S15" s="205"/>
      <c r="T15" s="215"/>
      <c r="U15" s="215"/>
      <c r="V15" s="215"/>
      <c r="W15" s="215"/>
      <c r="X15" s="215"/>
      <c r="Y15" s="216"/>
      <c r="Z15" s="216"/>
      <c r="AA15" s="216"/>
      <c r="AB15" s="216"/>
      <c r="AC15" s="215"/>
      <c r="AD15" s="217"/>
      <c r="AE15" s="218"/>
      <c r="AF15" s="218"/>
      <c r="AG15" s="218"/>
      <c r="AH15" s="218"/>
      <c r="AI15" s="218"/>
      <c r="AJ15" s="219"/>
      <c r="AL15" s="217">
        <f t="shared" si="0"/>
        <v>0</v>
      </c>
      <c r="AM15" s="220">
        <f t="shared" si="1"/>
        <v>0</v>
      </c>
      <c r="AN15" s="220">
        <f t="shared" si="2"/>
        <v>0</v>
      </c>
      <c r="AO15" s="220">
        <f t="shared" si="3"/>
        <v>0</v>
      </c>
      <c r="AP15" s="220">
        <f t="shared" si="4"/>
        <v>0</v>
      </c>
      <c r="AQ15" s="220">
        <f t="shared" si="5"/>
        <v>0</v>
      </c>
      <c r="AR15" s="219" t="e">
        <f t="shared" si="6"/>
        <v>#DIV/0!</v>
      </c>
      <c r="AT15" s="217">
        <f t="shared" si="7"/>
        <v>0</v>
      </c>
      <c r="AU15" s="220">
        <f t="shared" si="9"/>
        <v>0</v>
      </c>
      <c r="AV15" s="220">
        <f t="shared" si="10"/>
        <v>0</v>
      </c>
      <c r="AW15" s="220">
        <f t="shared" si="11"/>
        <v>0</v>
      </c>
      <c r="AX15" s="220">
        <f t="shared" si="12"/>
        <v>0</v>
      </c>
      <c r="AY15" s="220">
        <f t="shared" si="8"/>
        <v>0</v>
      </c>
      <c r="AZ15" s="219" t="e">
        <f t="shared" si="13"/>
        <v>#DIV/0!</v>
      </c>
    </row>
    <row r="16" spans="1:52" s="207" customFormat="1" ht="15" x14ac:dyDescent="0.25">
      <c r="A16" s="206">
        <v>40969</v>
      </c>
      <c r="B16" s="207" t="s">
        <v>96</v>
      </c>
      <c r="C16" s="208"/>
      <c r="D16" s="209"/>
      <c r="E16" s="208">
        <v>3.6375000000000002</v>
      </c>
      <c r="F16" s="210"/>
      <c r="G16" s="211">
        <f t="shared" si="16"/>
        <v>3.81209</v>
      </c>
      <c r="I16" s="212">
        <v>31.235298913043479</v>
      </c>
      <c r="J16" s="213"/>
      <c r="K16" s="212">
        <v>19.366861702127661</v>
      </c>
      <c r="L16" s="209"/>
      <c r="M16" s="214">
        <f t="shared" si="14"/>
        <v>8.1937464522200365</v>
      </c>
      <c r="N16" s="215"/>
      <c r="O16" s="205"/>
      <c r="P16" s="215"/>
      <c r="Q16" s="215"/>
      <c r="R16" s="214">
        <f t="shared" si="15"/>
        <v>5.0803789265541113</v>
      </c>
      <c r="S16" s="205"/>
      <c r="T16" s="215"/>
      <c r="U16" s="215"/>
      <c r="V16" s="215"/>
      <c r="W16" s="215"/>
      <c r="X16" s="215"/>
      <c r="Y16" s="216"/>
      <c r="Z16" s="216"/>
      <c r="AA16" s="216"/>
      <c r="AB16" s="216"/>
      <c r="AC16" s="215"/>
      <c r="AD16" s="217"/>
      <c r="AE16" s="218"/>
      <c r="AF16" s="218"/>
      <c r="AG16" s="218"/>
      <c r="AH16" s="218"/>
      <c r="AI16" s="218"/>
      <c r="AJ16" s="219"/>
      <c r="AL16" s="217">
        <f t="shared" si="0"/>
        <v>0</v>
      </c>
      <c r="AM16" s="220">
        <f t="shared" si="1"/>
        <v>0</v>
      </c>
      <c r="AN16" s="220">
        <f t="shared" si="2"/>
        <v>0</v>
      </c>
      <c r="AO16" s="220">
        <f t="shared" si="3"/>
        <v>0</v>
      </c>
      <c r="AP16" s="220">
        <f t="shared" si="4"/>
        <v>0</v>
      </c>
      <c r="AQ16" s="220">
        <f t="shared" si="5"/>
        <v>0</v>
      </c>
      <c r="AR16" s="219" t="e">
        <f t="shared" si="6"/>
        <v>#DIV/0!</v>
      </c>
      <c r="AT16" s="217">
        <f t="shared" si="7"/>
        <v>0</v>
      </c>
      <c r="AU16" s="220">
        <f t="shared" si="9"/>
        <v>0</v>
      </c>
      <c r="AV16" s="220">
        <f t="shared" si="10"/>
        <v>0</v>
      </c>
      <c r="AW16" s="220">
        <f t="shared" si="11"/>
        <v>0</v>
      </c>
      <c r="AX16" s="220">
        <f t="shared" si="12"/>
        <v>0</v>
      </c>
      <c r="AY16" s="220">
        <f t="shared" si="8"/>
        <v>0</v>
      </c>
      <c r="AZ16" s="219" t="e">
        <f t="shared" si="13"/>
        <v>#DIV/0!</v>
      </c>
    </row>
    <row r="17" spans="1:52" s="207" customFormat="1" ht="15" x14ac:dyDescent="0.25">
      <c r="A17" s="206">
        <v>41000</v>
      </c>
      <c r="B17" s="207" t="s">
        <v>96</v>
      </c>
      <c r="C17" s="208"/>
      <c r="D17" s="209"/>
      <c r="E17" s="208">
        <v>3.59</v>
      </c>
      <c r="F17" s="210"/>
      <c r="G17" s="211">
        <f t="shared" si="16"/>
        <v>3.7645899999999997</v>
      </c>
      <c r="I17" s="212">
        <v>31.150773809523805</v>
      </c>
      <c r="J17" s="213"/>
      <c r="K17" s="212">
        <v>17.777526041666665</v>
      </c>
      <c r="L17" s="209"/>
      <c r="M17" s="214">
        <f t="shared" si="14"/>
        <v>8.2746789981176718</v>
      </c>
      <c r="N17" s="215"/>
      <c r="O17" s="205"/>
      <c r="P17" s="215"/>
      <c r="Q17" s="215"/>
      <c r="R17" s="214">
        <f t="shared" si="15"/>
        <v>4.7223007131365344</v>
      </c>
      <c r="S17" s="205"/>
      <c r="T17" s="215"/>
      <c r="U17" s="215"/>
      <c r="V17" s="215"/>
      <c r="W17" s="215"/>
      <c r="X17" s="215"/>
      <c r="Y17" s="216"/>
      <c r="Z17" s="216"/>
      <c r="AA17" s="216"/>
      <c r="AB17" s="216"/>
      <c r="AC17" s="215"/>
      <c r="AD17" s="217"/>
      <c r="AE17" s="218"/>
      <c r="AF17" s="218"/>
      <c r="AG17" s="218"/>
      <c r="AH17" s="218"/>
      <c r="AI17" s="218"/>
      <c r="AJ17" s="219"/>
      <c r="AL17" s="217">
        <f t="shared" si="0"/>
        <v>0</v>
      </c>
      <c r="AM17" s="220">
        <f t="shared" si="1"/>
        <v>0</v>
      </c>
      <c r="AN17" s="220">
        <f t="shared" si="2"/>
        <v>0</v>
      </c>
      <c r="AO17" s="220">
        <f t="shared" si="3"/>
        <v>0</v>
      </c>
      <c r="AP17" s="220">
        <f t="shared" si="4"/>
        <v>0</v>
      </c>
      <c r="AQ17" s="220">
        <f t="shared" si="5"/>
        <v>0</v>
      </c>
      <c r="AR17" s="219" t="e">
        <f t="shared" si="6"/>
        <v>#DIV/0!</v>
      </c>
      <c r="AT17" s="217">
        <f t="shared" si="7"/>
        <v>0</v>
      </c>
      <c r="AU17" s="220">
        <f t="shared" si="9"/>
        <v>0</v>
      </c>
      <c r="AV17" s="220">
        <f t="shared" si="10"/>
        <v>0</v>
      </c>
      <c r="AW17" s="220">
        <f t="shared" si="11"/>
        <v>0</v>
      </c>
      <c r="AX17" s="220">
        <f t="shared" si="12"/>
        <v>0</v>
      </c>
      <c r="AY17" s="220">
        <f t="shared" si="8"/>
        <v>0</v>
      </c>
      <c r="AZ17" s="219" t="e">
        <f t="shared" si="13"/>
        <v>#DIV/0!</v>
      </c>
    </row>
    <row r="18" spans="1:52" s="207" customFormat="1" ht="15" x14ac:dyDescent="0.25">
      <c r="A18" s="206">
        <v>41030</v>
      </c>
      <c r="B18" s="207" t="s">
        <v>96</v>
      </c>
      <c r="C18" s="208"/>
      <c r="D18" s="209"/>
      <c r="E18" s="208">
        <v>3.605</v>
      </c>
      <c r="F18" s="210"/>
      <c r="G18" s="211">
        <f t="shared" si="16"/>
        <v>3.7795899999999998</v>
      </c>
      <c r="I18" s="212">
        <v>25.943214285714287</v>
      </c>
      <c r="J18" s="213"/>
      <c r="K18" s="212">
        <v>12.262401960784315</v>
      </c>
      <c r="L18" s="209"/>
      <c r="M18" s="214">
        <f t="shared" si="14"/>
        <v>6.8640287136208658</v>
      </c>
      <c r="N18" s="215"/>
      <c r="O18" s="205"/>
      <c r="P18" s="215"/>
      <c r="Q18" s="215"/>
      <c r="R18" s="214">
        <f t="shared" si="15"/>
        <v>3.2443735857022364</v>
      </c>
      <c r="S18" s="205"/>
      <c r="T18" s="215"/>
      <c r="U18" s="215"/>
      <c r="V18" s="215"/>
      <c r="W18" s="215"/>
      <c r="X18" s="215"/>
      <c r="Y18" s="216"/>
      <c r="Z18" s="216"/>
      <c r="AA18" s="216"/>
      <c r="AB18" s="216"/>
      <c r="AC18" s="215"/>
      <c r="AD18" s="217"/>
      <c r="AE18" s="218"/>
      <c r="AF18" s="218"/>
      <c r="AG18" s="218"/>
      <c r="AH18" s="218"/>
      <c r="AI18" s="218"/>
      <c r="AJ18" s="219"/>
      <c r="AL18" s="217">
        <f t="shared" si="0"/>
        <v>0</v>
      </c>
      <c r="AM18" s="220">
        <f t="shared" si="1"/>
        <v>0</v>
      </c>
      <c r="AN18" s="220">
        <f t="shared" si="2"/>
        <v>0</v>
      </c>
      <c r="AO18" s="220">
        <f t="shared" si="3"/>
        <v>0</v>
      </c>
      <c r="AP18" s="220">
        <f t="shared" si="4"/>
        <v>0</v>
      </c>
      <c r="AQ18" s="220">
        <f t="shared" si="5"/>
        <v>0</v>
      </c>
      <c r="AR18" s="219" t="e">
        <f t="shared" si="6"/>
        <v>#DIV/0!</v>
      </c>
      <c r="AT18" s="217">
        <f t="shared" si="7"/>
        <v>0</v>
      </c>
      <c r="AU18" s="220">
        <f t="shared" si="9"/>
        <v>0</v>
      </c>
      <c r="AV18" s="220">
        <f t="shared" si="10"/>
        <v>0</v>
      </c>
      <c r="AW18" s="220">
        <f t="shared" si="11"/>
        <v>0</v>
      </c>
      <c r="AX18" s="220">
        <f t="shared" si="12"/>
        <v>0</v>
      </c>
      <c r="AY18" s="220">
        <f t="shared" si="8"/>
        <v>0</v>
      </c>
      <c r="AZ18" s="219" t="e">
        <f t="shared" si="13"/>
        <v>#DIV/0!</v>
      </c>
    </row>
    <row r="19" spans="1:52" s="207" customFormat="1" ht="15" x14ac:dyDescent="0.25">
      <c r="A19" s="206">
        <v>41061</v>
      </c>
      <c r="B19" s="207" t="s">
        <v>96</v>
      </c>
      <c r="C19" s="208"/>
      <c r="D19" s="209"/>
      <c r="E19" s="208">
        <v>3.6</v>
      </c>
      <c r="F19" s="210"/>
      <c r="G19" s="211">
        <f t="shared" si="16"/>
        <v>3.7745899999999999</v>
      </c>
      <c r="I19" s="212">
        <v>22.430607954545444</v>
      </c>
      <c r="J19" s="213"/>
      <c r="K19" s="212">
        <v>16.550570652173917</v>
      </c>
      <c r="L19" s="209"/>
      <c r="M19" s="214">
        <f t="shared" si="14"/>
        <v>5.9425283155376993</v>
      </c>
      <c r="N19" s="215"/>
      <c r="O19" s="205"/>
      <c r="P19" s="215"/>
      <c r="Q19" s="215"/>
      <c r="R19" s="214">
        <f t="shared" si="15"/>
        <v>4.3847333490985561</v>
      </c>
      <c r="S19" s="205"/>
      <c r="T19" s="215"/>
      <c r="U19" s="215"/>
      <c r="V19" s="215"/>
      <c r="W19" s="215"/>
      <c r="X19" s="215"/>
      <c r="Y19" s="216"/>
      <c r="Z19" s="216"/>
      <c r="AA19" s="216"/>
      <c r="AB19" s="216"/>
      <c r="AC19" s="215"/>
      <c r="AD19" s="217"/>
      <c r="AE19" s="218"/>
      <c r="AF19" s="218"/>
      <c r="AG19" s="218"/>
      <c r="AH19" s="218"/>
      <c r="AI19" s="218"/>
      <c r="AJ19" s="219"/>
      <c r="AL19" s="217">
        <f t="shared" si="0"/>
        <v>0</v>
      </c>
      <c r="AM19" s="220">
        <f t="shared" si="1"/>
        <v>0</v>
      </c>
      <c r="AN19" s="220">
        <f t="shared" si="2"/>
        <v>0</v>
      </c>
      <c r="AO19" s="220">
        <f t="shared" si="3"/>
        <v>0</v>
      </c>
      <c r="AP19" s="220">
        <f t="shared" si="4"/>
        <v>0</v>
      </c>
      <c r="AQ19" s="220">
        <f t="shared" si="5"/>
        <v>0</v>
      </c>
      <c r="AR19" s="219" t="e">
        <f t="shared" si="6"/>
        <v>#DIV/0!</v>
      </c>
      <c r="AT19" s="217">
        <f t="shared" si="7"/>
        <v>0</v>
      </c>
      <c r="AU19" s="220">
        <f t="shared" si="9"/>
        <v>0</v>
      </c>
      <c r="AV19" s="220">
        <f t="shared" si="10"/>
        <v>0</v>
      </c>
      <c r="AW19" s="220">
        <f t="shared" si="11"/>
        <v>0</v>
      </c>
      <c r="AX19" s="220">
        <f t="shared" si="12"/>
        <v>0</v>
      </c>
      <c r="AY19" s="220">
        <f t="shared" si="8"/>
        <v>0</v>
      </c>
      <c r="AZ19" s="219" t="e">
        <f t="shared" si="13"/>
        <v>#DIV/0!</v>
      </c>
    </row>
    <row r="20" spans="1:52" s="207" customFormat="1" ht="15" x14ac:dyDescent="0.25">
      <c r="A20" s="206">
        <v>41091</v>
      </c>
      <c r="B20" s="207" t="s">
        <v>96</v>
      </c>
      <c r="C20" s="208"/>
      <c r="D20" s="209"/>
      <c r="E20" s="208">
        <v>3.61</v>
      </c>
      <c r="F20" s="210"/>
      <c r="G20" s="211">
        <f t="shared" si="16"/>
        <v>3.7845899999999997</v>
      </c>
      <c r="I20" s="212">
        <v>35.370749999999994</v>
      </c>
      <c r="J20" s="213"/>
      <c r="K20" s="212">
        <v>21.320683962264162</v>
      </c>
      <c r="L20" s="209"/>
      <c r="M20" s="214">
        <f t="shared" si="14"/>
        <v>9.3459925645842734</v>
      </c>
      <c r="N20" s="215"/>
      <c r="O20" s="205"/>
      <c r="P20" s="215"/>
      <c r="Q20" s="215"/>
      <c r="R20" s="214">
        <f t="shared" si="15"/>
        <v>5.6335518410882459</v>
      </c>
      <c r="S20" s="205"/>
      <c r="T20" s="215"/>
      <c r="U20" s="215"/>
      <c r="V20" s="215"/>
      <c r="W20" s="215"/>
      <c r="X20" s="215"/>
      <c r="Y20" s="216"/>
      <c r="Z20" s="216"/>
      <c r="AA20" s="216"/>
      <c r="AB20" s="216"/>
      <c r="AC20" s="215"/>
      <c r="AD20" s="217"/>
      <c r="AE20" s="218"/>
      <c r="AF20" s="218"/>
      <c r="AG20" s="218"/>
      <c r="AH20" s="218"/>
      <c r="AI20" s="218"/>
      <c r="AJ20" s="219"/>
      <c r="AL20" s="217">
        <f t="shared" si="0"/>
        <v>0</v>
      </c>
      <c r="AM20" s="220">
        <f t="shared" si="1"/>
        <v>0</v>
      </c>
      <c r="AN20" s="220">
        <f t="shared" si="2"/>
        <v>0</v>
      </c>
      <c r="AO20" s="220">
        <f t="shared" si="3"/>
        <v>0</v>
      </c>
      <c r="AP20" s="220">
        <f t="shared" si="4"/>
        <v>0</v>
      </c>
      <c r="AQ20" s="220">
        <f t="shared" si="5"/>
        <v>0</v>
      </c>
      <c r="AR20" s="219" t="e">
        <f t="shared" si="6"/>
        <v>#DIV/0!</v>
      </c>
      <c r="AT20" s="217">
        <f t="shared" si="7"/>
        <v>0</v>
      </c>
      <c r="AU20" s="220">
        <f t="shared" si="9"/>
        <v>0</v>
      </c>
      <c r="AV20" s="220">
        <f t="shared" si="10"/>
        <v>0</v>
      </c>
      <c r="AW20" s="220">
        <f t="shared" si="11"/>
        <v>0</v>
      </c>
      <c r="AX20" s="220">
        <f t="shared" si="12"/>
        <v>0</v>
      </c>
      <c r="AY20" s="220">
        <f t="shared" si="8"/>
        <v>0</v>
      </c>
      <c r="AZ20" s="219" t="e">
        <f t="shared" si="13"/>
        <v>#DIV/0!</v>
      </c>
    </row>
    <row r="21" spans="1:52" s="207" customFormat="1" ht="15" x14ac:dyDescent="0.25">
      <c r="A21" s="206">
        <v>41122</v>
      </c>
      <c r="B21" s="207" t="s">
        <v>96</v>
      </c>
      <c r="C21" s="208"/>
      <c r="D21" s="209"/>
      <c r="E21" s="208">
        <v>3.63</v>
      </c>
      <c r="F21" s="210"/>
      <c r="G21" s="211">
        <f t="shared" si="16"/>
        <v>3.8045899999999997</v>
      </c>
      <c r="I21" s="212">
        <v>41.497010869565237</v>
      </c>
      <c r="J21" s="213"/>
      <c r="K21" s="212">
        <v>22.307739361702129</v>
      </c>
      <c r="L21" s="209"/>
      <c r="M21" s="214">
        <f t="shared" si="14"/>
        <v>10.907091400010314</v>
      </c>
      <c r="N21" s="215"/>
      <c r="O21" s="205"/>
      <c r="P21" s="215"/>
      <c r="Q21" s="215"/>
      <c r="R21" s="214">
        <f t="shared" si="15"/>
        <v>5.8633753864942424</v>
      </c>
      <c r="S21" s="205"/>
      <c r="T21" s="215"/>
      <c r="U21" s="215"/>
      <c r="V21" s="215"/>
      <c r="W21" s="215"/>
      <c r="X21" s="215"/>
      <c r="Y21" s="216"/>
      <c r="Z21" s="216"/>
      <c r="AA21" s="216"/>
      <c r="AB21" s="216"/>
      <c r="AC21" s="215"/>
      <c r="AE21" s="218"/>
      <c r="AF21" s="218"/>
      <c r="AG21" s="218"/>
      <c r="AH21" s="218"/>
      <c r="AI21" s="218"/>
      <c r="AM21" s="221"/>
      <c r="AN21" s="221"/>
      <c r="AO21" s="221"/>
      <c r="AP21" s="221"/>
      <c r="AQ21" s="221"/>
      <c r="AU21" s="221"/>
      <c r="AV21" s="221"/>
      <c r="AW21" s="221"/>
      <c r="AX21" s="221"/>
      <c r="AY21" s="221"/>
    </row>
    <row r="22" spans="1:52" s="207" customFormat="1" ht="15" x14ac:dyDescent="0.25">
      <c r="A22" s="206">
        <v>41153</v>
      </c>
      <c r="B22" s="207" t="s">
        <v>96</v>
      </c>
      <c r="C22" s="208"/>
      <c r="D22" s="209"/>
      <c r="E22" s="208">
        <v>3.65</v>
      </c>
      <c r="F22" s="210"/>
      <c r="G22" s="211">
        <f t="shared" si="16"/>
        <v>3.8245899999999997</v>
      </c>
      <c r="I22" s="212">
        <v>31.818125000000002</v>
      </c>
      <c r="J22" s="222"/>
      <c r="K22" s="212">
        <v>19.609166666666663</v>
      </c>
      <c r="L22" s="223"/>
      <c r="M22" s="214">
        <f t="shared" si="14"/>
        <v>8.3193558002295678</v>
      </c>
      <c r="N22" s="215"/>
      <c r="O22" s="205"/>
      <c r="P22" s="215"/>
      <c r="Q22" s="215"/>
      <c r="R22" s="214">
        <f t="shared" si="15"/>
        <v>5.1271290953191491</v>
      </c>
      <c r="S22" s="205"/>
      <c r="T22" s="215"/>
      <c r="U22" s="215"/>
      <c r="V22" s="215"/>
      <c r="W22" s="215"/>
      <c r="X22" s="215"/>
      <c r="Y22" s="216"/>
      <c r="Z22" s="216"/>
      <c r="AA22" s="216"/>
      <c r="AB22" s="216"/>
      <c r="AC22" s="215"/>
      <c r="AD22" s="217"/>
      <c r="AE22" s="218"/>
      <c r="AF22" s="218"/>
      <c r="AG22" s="218"/>
      <c r="AH22" s="218"/>
      <c r="AI22" s="218"/>
      <c r="AJ22" s="224"/>
      <c r="AL22" s="217" t="s">
        <v>97</v>
      </c>
      <c r="AM22" s="221">
        <f>AVERAGE(AM9:AM20)</f>
        <v>0</v>
      </c>
      <c r="AN22" s="221">
        <f>AVERAGE(AN9:AN20)</f>
        <v>0</v>
      </c>
      <c r="AO22" s="221">
        <f>AVERAGE(AO9:AO20)</f>
        <v>0</v>
      </c>
      <c r="AP22" s="221">
        <f>AVERAGE(AP9:AP20)</f>
        <v>0</v>
      </c>
      <c r="AQ22" s="221">
        <f>AVERAGE(AM22:AP22)</f>
        <v>0</v>
      </c>
      <c r="AR22" s="224" t="e">
        <f>SUM(AR9:AR20)</f>
        <v>#DIV/0!</v>
      </c>
      <c r="AT22" s="217" t="s">
        <v>97</v>
      </c>
      <c r="AU22" s="221">
        <f>AVERAGE(AU9:AU20)</f>
        <v>0</v>
      </c>
      <c r="AV22" s="221">
        <f>AVERAGE(AV9:AV20)</f>
        <v>0</v>
      </c>
      <c r="AW22" s="221">
        <f>AVERAGE(AW9:AW20)</f>
        <v>0</v>
      </c>
      <c r="AX22" s="221">
        <f>AVERAGE(AX9:AX20)</f>
        <v>0</v>
      </c>
      <c r="AY22" s="221">
        <f>AVERAGE(AU22:AX22)</f>
        <v>0</v>
      </c>
      <c r="AZ22" s="224" t="e">
        <f>SUM(AZ9:AZ20)</f>
        <v>#DIV/0!</v>
      </c>
    </row>
    <row r="23" spans="1:52" s="207" customFormat="1" ht="15" x14ac:dyDescent="0.25">
      <c r="A23" s="206">
        <v>41183</v>
      </c>
      <c r="B23" s="207" t="s">
        <v>96</v>
      </c>
      <c r="C23" s="208"/>
      <c r="D23" s="209"/>
      <c r="E23" s="208">
        <v>3.7124999999999999</v>
      </c>
      <c r="F23" s="210"/>
      <c r="G23" s="211">
        <f t="shared" si="16"/>
        <v>3.8870899999999997</v>
      </c>
      <c r="I23" s="212">
        <v>35.236666666666665</v>
      </c>
      <c r="J23" s="225"/>
      <c r="K23" s="212">
        <v>20.880906862745103</v>
      </c>
      <c r="L23" s="225"/>
      <c r="M23" s="214">
        <f t="shared" si="14"/>
        <v>9.0650503761597143</v>
      </c>
      <c r="N23" s="215"/>
      <c r="O23" s="205"/>
      <c r="P23" s="215"/>
      <c r="Q23" s="215"/>
      <c r="R23" s="214">
        <f t="shared" si="15"/>
        <v>5.3718609197999285</v>
      </c>
      <c r="S23" s="205"/>
      <c r="T23" s="215"/>
      <c r="U23" s="215"/>
      <c r="V23" s="215"/>
      <c r="W23" s="215"/>
      <c r="X23" s="215"/>
      <c r="Y23" s="216"/>
      <c r="Z23" s="216"/>
      <c r="AA23" s="216"/>
      <c r="AB23" s="216"/>
      <c r="AC23" s="215"/>
      <c r="AD23" s="217"/>
      <c r="AF23" s="226"/>
      <c r="AG23" s="226"/>
      <c r="AH23" s="226"/>
      <c r="AL23" s="217" t="s">
        <v>98</v>
      </c>
      <c r="AN23" s="226" t="e">
        <f>AN22/AM22-1</f>
        <v>#DIV/0!</v>
      </c>
      <c r="AO23" s="226" t="e">
        <f>AO22/AN22-1</f>
        <v>#DIV/0!</v>
      </c>
      <c r="AP23" s="226" t="e">
        <f>AP22/AO22-1</f>
        <v>#DIV/0!</v>
      </c>
      <c r="AT23" s="217" t="s">
        <v>98</v>
      </c>
      <c r="AV23" s="227" t="e">
        <f>AV22/AU22-1</f>
        <v>#DIV/0!</v>
      </c>
      <c r="AW23" s="227" t="e">
        <f>AW22/AV22-1</f>
        <v>#DIV/0!</v>
      </c>
      <c r="AX23" s="227" t="e">
        <f>AX22/AW22-1</f>
        <v>#DIV/0!</v>
      </c>
      <c r="AY23" s="228"/>
    </row>
    <row r="24" spans="1:52" s="207" customFormat="1" ht="15" x14ac:dyDescent="0.25">
      <c r="A24" s="206">
        <v>41214</v>
      </c>
      <c r="B24" s="207" t="s">
        <v>96</v>
      </c>
      <c r="C24" s="208"/>
      <c r="D24" s="209"/>
      <c r="E24" s="208">
        <v>3.9275000000000002</v>
      </c>
      <c r="F24" s="210"/>
      <c r="G24" s="211">
        <f t="shared" si="16"/>
        <v>4.1020900000000005</v>
      </c>
      <c r="I24" s="212">
        <v>33.422053571428556</v>
      </c>
      <c r="J24" s="225"/>
      <c r="K24" s="212">
        <v>19.882968750000003</v>
      </c>
      <c r="L24" s="225"/>
      <c r="M24" s="214">
        <f t="shared" si="14"/>
        <v>8.1475671112600043</v>
      </c>
      <c r="N24" s="215"/>
      <c r="O24" s="205"/>
      <c r="P24" s="215"/>
      <c r="Q24" s="215"/>
      <c r="R24" s="214">
        <f t="shared" si="15"/>
        <v>4.8470337681523326</v>
      </c>
      <c r="S24" s="205"/>
      <c r="T24" s="215"/>
      <c r="U24" s="215"/>
      <c r="V24" s="215"/>
      <c r="W24" s="215"/>
      <c r="X24" s="215"/>
      <c r="Y24" s="216"/>
      <c r="Z24" s="216"/>
      <c r="AA24" s="216"/>
      <c r="AB24" s="216"/>
      <c r="AC24" s="215"/>
      <c r="AV24" s="228"/>
      <c r="AW24" s="228"/>
      <c r="AX24" s="228"/>
      <c r="AY24" s="228"/>
    </row>
    <row r="25" spans="1:52" s="207" customFormat="1" ht="15.75" thickBot="1" x14ac:dyDescent="0.3">
      <c r="A25" s="206">
        <v>41244</v>
      </c>
      <c r="B25" s="207" t="s">
        <v>96</v>
      </c>
      <c r="C25" s="208"/>
      <c r="D25" s="209"/>
      <c r="E25" s="208">
        <v>4.1675000000000004</v>
      </c>
      <c r="F25" s="210"/>
      <c r="G25" s="211">
        <f t="shared" si="16"/>
        <v>4.3420900000000007</v>
      </c>
      <c r="I25" s="229">
        <v>30.627119565217384</v>
      </c>
      <c r="J25" s="209"/>
      <c r="K25" s="229">
        <v>22.882367021276597</v>
      </c>
      <c r="L25" s="209"/>
      <c r="M25" s="230">
        <f t="shared" si="14"/>
        <v>7.0535432395959967</v>
      </c>
      <c r="N25" s="215"/>
      <c r="O25" s="205"/>
      <c r="P25" s="215"/>
      <c r="Q25" s="215"/>
      <c r="R25" s="230">
        <f t="shared" si="15"/>
        <v>5.2698969899925139</v>
      </c>
      <c r="S25" s="205"/>
      <c r="T25" s="215"/>
      <c r="U25" s="215"/>
      <c r="V25" s="215"/>
      <c r="W25" s="215"/>
      <c r="X25" s="215"/>
      <c r="Y25" s="216"/>
      <c r="Z25" s="216"/>
      <c r="AA25" s="216"/>
      <c r="AB25" s="216"/>
      <c r="AC25" s="215"/>
      <c r="AV25" s="228"/>
      <c r="AW25" s="228"/>
      <c r="AX25" s="228"/>
      <c r="AY25" s="228"/>
    </row>
    <row r="26" spans="1:52" ht="15" x14ac:dyDescent="0.25">
      <c r="A26" s="231">
        <v>41275</v>
      </c>
      <c r="B26" s="232" t="s">
        <v>99</v>
      </c>
      <c r="C26" s="233"/>
      <c r="D26" s="30"/>
      <c r="E26" s="233"/>
      <c r="F26" s="234"/>
      <c r="G26" s="235">
        <f>GasPrice!E4</f>
        <v>5.0575997708578662</v>
      </c>
      <c r="I26" s="236"/>
      <c r="J26" s="97"/>
      <c r="K26" s="203"/>
      <c r="L26" s="97"/>
      <c r="M26" s="237"/>
      <c r="N26" s="237"/>
      <c r="O26" s="238">
        <f>G26*$M$14</f>
        <v>47.256815814174281</v>
      </c>
      <c r="P26" s="239"/>
      <c r="Q26" s="237"/>
      <c r="R26" s="237"/>
      <c r="S26" s="238">
        <f>G26*$R$14</f>
        <v>34.495371081793188</v>
      </c>
      <c r="T26" s="240"/>
      <c r="U26" s="237"/>
      <c r="V26" s="239"/>
      <c r="W26" s="237"/>
      <c r="X26" s="237"/>
      <c r="Y26" s="241"/>
      <c r="Z26" s="241"/>
      <c r="AA26" s="241"/>
      <c r="AB26" s="241"/>
      <c r="AC26" s="237"/>
    </row>
    <row r="27" spans="1:52" ht="15" x14ac:dyDescent="0.25">
      <c r="A27" s="231">
        <v>41306</v>
      </c>
      <c r="B27" s="232" t="s">
        <v>99</v>
      </c>
      <c r="C27" s="233"/>
      <c r="D27" s="30"/>
      <c r="E27" s="233"/>
      <c r="F27" s="234"/>
      <c r="G27" s="235">
        <f>GasPrice!E5</f>
        <v>5.0253517391202811</v>
      </c>
      <c r="I27" s="236"/>
      <c r="J27" s="97"/>
      <c r="K27" s="203"/>
      <c r="L27" s="97"/>
      <c r="M27" s="237"/>
      <c r="N27" s="237"/>
      <c r="O27" s="238">
        <f>G27*$M$15</f>
        <v>44.710507392670202</v>
      </c>
      <c r="P27" s="239"/>
      <c r="Q27" s="237"/>
      <c r="R27" s="237"/>
      <c r="S27" s="238">
        <f>G27*$R$15</f>
        <v>28.771483825078903</v>
      </c>
      <c r="T27" s="239"/>
      <c r="U27" s="237"/>
      <c r="V27" s="239"/>
      <c r="W27" s="237"/>
      <c r="X27" s="237"/>
      <c r="Y27" s="241"/>
      <c r="Z27" s="241"/>
      <c r="AA27" s="241"/>
      <c r="AB27" s="241"/>
      <c r="AC27" s="237"/>
    </row>
    <row r="28" spans="1:52" ht="15" x14ac:dyDescent="0.25">
      <c r="A28" s="231">
        <v>41334</v>
      </c>
      <c r="B28" s="232" t="s">
        <v>99</v>
      </c>
      <c r="C28" s="233"/>
      <c r="D28" s="30"/>
      <c r="E28" s="233"/>
      <c r="F28" s="234"/>
      <c r="G28" s="235">
        <f>GasPrice!E6</f>
        <v>4.97077814694899</v>
      </c>
      <c r="I28" s="236"/>
      <c r="J28" s="242"/>
      <c r="K28" s="203"/>
      <c r="L28" s="242"/>
      <c r="M28" s="237"/>
      <c r="N28" s="237"/>
      <c r="O28" s="238">
        <f>G28*$M$16</f>
        <v>40.729295806336175</v>
      </c>
      <c r="P28" s="239"/>
      <c r="Q28" s="237"/>
      <c r="R28" s="237"/>
      <c r="S28" s="238">
        <f>G28*$R$16</f>
        <v>25.253436546335344</v>
      </c>
      <c r="T28" s="239"/>
      <c r="U28" s="237"/>
      <c r="V28" s="239"/>
      <c r="W28" s="237"/>
      <c r="X28" s="237"/>
      <c r="Y28" s="241"/>
      <c r="Z28" s="241"/>
      <c r="AA28" s="241"/>
      <c r="AB28" s="241"/>
      <c r="AC28" s="237"/>
    </row>
    <row r="29" spans="1:52" ht="15" x14ac:dyDescent="0.25">
      <c r="A29" s="231">
        <v>41365</v>
      </c>
      <c r="B29" s="232" t="s">
        <v>99</v>
      </c>
      <c r="C29" s="233"/>
      <c r="D29" s="30"/>
      <c r="E29" s="233"/>
      <c r="F29" s="234"/>
      <c r="G29" s="235">
        <f>GasPrice!E7</f>
        <v>4.7698481030455868</v>
      </c>
      <c r="I29" s="243"/>
      <c r="J29" s="243"/>
      <c r="K29" s="243"/>
      <c r="L29" s="243"/>
      <c r="M29" s="239"/>
      <c r="N29" s="239"/>
      <c r="O29" s="238">
        <f>G29*$M$17</f>
        <v>39.468961922482734</v>
      </c>
      <c r="P29" s="237"/>
      <c r="Q29" s="243"/>
      <c r="R29" s="239"/>
      <c r="S29" s="238">
        <f>G29*$R$17</f>
        <v>22.524657098565122</v>
      </c>
      <c r="T29" s="244"/>
      <c r="U29" s="243"/>
      <c r="V29" s="244"/>
      <c r="W29" s="243"/>
      <c r="X29" s="237"/>
      <c r="Y29" s="241"/>
      <c r="Z29" s="241"/>
      <c r="AA29" s="241"/>
      <c r="AB29" s="241"/>
      <c r="AC29" s="245"/>
    </row>
    <row r="30" spans="1:52" ht="15" x14ac:dyDescent="0.25">
      <c r="A30" s="231">
        <v>41395</v>
      </c>
      <c r="B30" s="232" t="s">
        <v>99</v>
      </c>
      <c r="C30" s="233"/>
      <c r="D30" s="30"/>
      <c r="E30" s="233"/>
      <c r="F30" s="234"/>
      <c r="G30" s="235">
        <f>GasPrice!E8</f>
        <v>4.7276776000041316</v>
      </c>
      <c r="I30" s="243"/>
      <c r="J30" s="243"/>
      <c r="K30" s="243"/>
      <c r="L30" s="243"/>
      <c r="M30" s="239"/>
      <c r="N30" s="239"/>
      <c r="O30" s="238">
        <f>G30*$M$18</f>
        <v>32.45091479517054</v>
      </c>
      <c r="P30" s="237"/>
      <c r="Q30" s="243"/>
      <c r="R30" s="239"/>
      <c r="S30" s="238">
        <f>G30*$R$18</f>
        <v>15.338352327169549</v>
      </c>
      <c r="T30" s="244"/>
      <c r="U30" s="243"/>
      <c r="V30" s="244"/>
      <c r="W30" s="243"/>
      <c r="X30" s="237"/>
      <c r="Y30" s="241"/>
      <c r="Z30" s="241"/>
      <c r="AA30" s="241"/>
      <c r="AB30" s="241"/>
      <c r="AC30" s="245"/>
    </row>
    <row r="31" spans="1:52" ht="15" x14ac:dyDescent="0.25">
      <c r="A31" s="231">
        <v>41426</v>
      </c>
      <c r="B31" s="232" t="s">
        <v>99</v>
      </c>
      <c r="C31" s="233"/>
      <c r="D31" s="30"/>
      <c r="E31" s="233"/>
      <c r="F31" s="234"/>
      <c r="G31" s="235">
        <f>GasPrice!E9</f>
        <v>4.7202357465262281</v>
      </c>
      <c r="I31" s="243"/>
      <c r="J31" s="243"/>
      <c r="K31" s="243"/>
      <c r="L31" s="243"/>
      <c r="M31" s="239"/>
      <c r="N31" s="239"/>
      <c r="O31" s="238">
        <f>G31*$M$19</f>
        <v>28.05013457974534</v>
      </c>
      <c r="P31" s="237"/>
      <c r="Q31" s="243"/>
      <c r="R31" s="239"/>
      <c r="S31" s="238">
        <f>G31*$R$19</f>
        <v>20.69697509340067</v>
      </c>
      <c r="T31" s="244"/>
      <c r="U31" s="243"/>
      <c r="V31" s="244"/>
      <c r="W31" s="243"/>
      <c r="X31" s="237"/>
      <c r="Y31" s="241"/>
      <c r="Z31" s="241"/>
      <c r="AA31" s="241"/>
      <c r="AB31" s="241"/>
      <c r="AC31" s="245"/>
    </row>
    <row r="32" spans="1:52" ht="15" x14ac:dyDescent="0.25">
      <c r="A32" s="231">
        <v>41456</v>
      </c>
      <c r="B32" s="232" t="s">
        <v>99</v>
      </c>
      <c r="C32" s="233"/>
      <c r="D32" s="30"/>
      <c r="E32" s="233"/>
      <c r="F32" s="234"/>
      <c r="G32" s="235">
        <f>GasPrice!E10</f>
        <v>4.7351194534820369</v>
      </c>
      <c r="I32" s="243"/>
      <c r="J32" s="243"/>
      <c r="K32" s="243"/>
      <c r="L32" s="243"/>
      <c r="M32" s="239"/>
      <c r="N32" s="239"/>
      <c r="O32" s="238">
        <f>G32*$M$20</f>
        <v>44.254391204661466</v>
      </c>
      <c r="P32" s="237"/>
      <c r="Q32" s="243"/>
      <c r="R32" s="239"/>
      <c r="S32" s="238">
        <f>G32*$R$20</f>
        <v>26.675540914936498</v>
      </c>
      <c r="T32" s="244"/>
      <c r="U32" s="243"/>
      <c r="V32" s="244"/>
      <c r="W32" s="243"/>
      <c r="X32" s="237"/>
      <c r="Y32" s="241"/>
      <c r="Z32" s="241"/>
      <c r="AA32" s="241"/>
      <c r="AB32" s="241"/>
      <c r="AC32" s="245"/>
    </row>
    <row r="33" spans="1:52" ht="15" x14ac:dyDescent="0.25">
      <c r="A33" s="231">
        <v>41487</v>
      </c>
      <c r="B33" s="232" t="s">
        <v>99</v>
      </c>
      <c r="C33" s="233"/>
      <c r="D33" s="30"/>
      <c r="E33" s="233"/>
      <c r="F33" s="234"/>
      <c r="G33" s="235">
        <f>GasPrice!E11</f>
        <v>4.7475225426118763</v>
      </c>
      <c r="I33" s="243"/>
      <c r="J33" s="243"/>
      <c r="K33" s="243"/>
      <c r="L33" s="243"/>
      <c r="M33" s="239"/>
      <c r="N33" s="239"/>
      <c r="O33" s="238">
        <f>G33*$M$21</f>
        <v>51.781662295877098</v>
      </c>
      <c r="P33" s="237"/>
      <c r="Q33" s="243"/>
      <c r="R33" s="239"/>
      <c r="S33" s="238">
        <f>G33*$R$21</f>
        <v>27.836506823177039</v>
      </c>
      <c r="T33" s="244"/>
      <c r="U33" s="243"/>
      <c r="V33" s="244"/>
      <c r="W33" s="243"/>
      <c r="X33" s="237"/>
      <c r="Y33" s="241"/>
      <c r="Z33" s="241"/>
      <c r="AA33" s="241"/>
      <c r="AB33" s="241"/>
      <c r="AC33" s="245"/>
    </row>
    <row r="34" spans="1:52" ht="15" x14ac:dyDescent="0.25">
      <c r="A34" s="231">
        <v>41518</v>
      </c>
      <c r="B34" s="232" t="s">
        <v>99</v>
      </c>
      <c r="C34" s="233"/>
      <c r="D34" s="30"/>
      <c r="E34" s="233"/>
      <c r="F34" s="234"/>
      <c r="G34" s="235">
        <f>GasPrice!E12</f>
        <v>4.7921736634792982</v>
      </c>
      <c r="I34" s="243"/>
      <c r="J34" s="243"/>
      <c r="K34" s="243"/>
      <c r="L34" s="243"/>
      <c r="M34" s="239"/>
      <c r="N34" s="239"/>
      <c r="O34" s="238">
        <f>G34*$M$22</f>
        <v>39.867797762973879</v>
      </c>
      <c r="P34" s="237"/>
      <c r="Q34" s="243"/>
      <c r="R34" s="239"/>
      <c r="S34" s="238">
        <f>G34*$R$22</f>
        <v>24.570093019846865</v>
      </c>
      <c r="T34" s="244"/>
      <c r="U34" s="243"/>
      <c r="V34" s="244"/>
      <c r="W34" s="243"/>
      <c r="X34" s="237"/>
      <c r="Y34" s="241"/>
      <c r="Z34" s="241"/>
      <c r="AA34" s="241"/>
      <c r="AB34" s="241"/>
      <c r="AC34" s="245"/>
    </row>
    <row r="35" spans="1:52" ht="15" x14ac:dyDescent="0.25">
      <c r="A35" s="231">
        <v>41548</v>
      </c>
      <c r="B35" s="232" t="s">
        <v>99</v>
      </c>
      <c r="C35" s="233"/>
      <c r="D35" s="30"/>
      <c r="E35" s="233"/>
      <c r="F35" s="234"/>
      <c r="G35" s="235">
        <f>GasPrice!E13</f>
        <v>4.7045925931171908</v>
      </c>
      <c r="I35" s="243"/>
      <c r="J35" s="243"/>
      <c r="K35" s="243"/>
      <c r="L35" s="243"/>
      <c r="M35" s="239"/>
      <c r="N35" s="239"/>
      <c r="O35" s="238">
        <f>G35*$M$23</f>
        <v>42.647368855915197</v>
      </c>
      <c r="P35" s="237"/>
      <c r="Q35" s="243"/>
      <c r="R35" s="239"/>
      <c r="S35" s="238">
        <f>G35*$R$23</f>
        <v>25.272417094546444</v>
      </c>
      <c r="T35" s="244"/>
      <c r="U35" s="243"/>
      <c r="V35" s="244"/>
      <c r="W35" s="243"/>
      <c r="X35" s="237"/>
      <c r="Y35" s="241"/>
      <c r="Z35" s="241"/>
      <c r="AA35" s="241"/>
      <c r="AB35" s="241"/>
      <c r="AC35" s="245"/>
    </row>
    <row r="36" spans="1:52" ht="15" x14ac:dyDescent="0.25">
      <c r="A36" s="231">
        <v>41579</v>
      </c>
      <c r="B36" s="232" t="s">
        <v>99</v>
      </c>
      <c r="C36" s="233"/>
      <c r="D36" s="30"/>
      <c r="E36" s="233"/>
      <c r="F36" s="234"/>
      <c r="G36" s="235">
        <f>GasPrice!E14</f>
        <v>4.9309442844626714</v>
      </c>
      <c r="I36" s="243"/>
      <c r="J36" s="243"/>
      <c r="K36" s="243"/>
      <c r="L36" s="243"/>
      <c r="M36" s="239"/>
      <c r="N36" s="239"/>
      <c r="O36" s="238">
        <f>G36*$M$24</f>
        <v>40.175199479543558</v>
      </c>
      <c r="P36" s="237"/>
      <c r="Q36" s="243"/>
      <c r="R36" s="239"/>
      <c r="S36" s="238">
        <f>G36*$R$24</f>
        <v>23.900453455668309</v>
      </c>
      <c r="T36" s="244"/>
      <c r="U36" s="243"/>
      <c r="V36" s="244"/>
      <c r="W36" s="243"/>
      <c r="X36" s="237"/>
      <c r="Y36" s="241"/>
      <c r="Z36" s="241"/>
      <c r="AA36" s="241"/>
      <c r="AB36" s="241"/>
      <c r="AC36" s="245"/>
    </row>
    <row r="37" spans="1:52" ht="15" x14ac:dyDescent="0.25">
      <c r="A37" s="231">
        <v>41609</v>
      </c>
      <c r="B37" s="232" t="s">
        <v>99</v>
      </c>
      <c r="C37" s="233"/>
      <c r="D37" s="30"/>
      <c r="E37" s="233"/>
      <c r="F37" s="234"/>
      <c r="G37" s="235">
        <f>GasPrice!E15</f>
        <v>5.1078452684646578</v>
      </c>
      <c r="I37" s="243"/>
      <c r="J37" s="243"/>
      <c r="K37" s="243"/>
      <c r="L37" s="243"/>
      <c r="M37" s="239"/>
      <c r="N37" s="239"/>
      <c r="O37" s="238">
        <f>G37*$M$25</f>
        <v>36.028407462281287</v>
      </c>
      <c r="P37" s="237"/>
      <c r="Q37" s="243"/>
      <c r="R37" s="239"/>
      <c r="S37" s="238">
        <f>G37*$R$25</f>
        <v>26.917818405629404</v>
      </c>
      <c r="T37" s="244"/>
      <c r="U37" s="243"/>
      <c r="V37" s="244"/>
      <c r="W37" s="243"/>
      <c r="X37" s="237"/>
      <c r="Y37" s="241"/>
      <c r="Z37" s="241"/>
      <c r="AA37" s="241"/>
      <c r="AB37" s="241"/>
      <c r="AC37" s="245"/>
    </row>
    <row r="38" spans="1:52" ht="15" x14ac:dyDescent="0.25">
      <c r="A38" s="231">
        <v>41640</v>
      </c>
      <c r="B38" s="232" t="s">
        <v>99</v>
      </c>
      <c r="C38" s="233"/>
      <c r="D38" s="30"/>
      <c r="E38" s="233"/>
      <c r="F38" s="234"/>
      <c r="G38" s="235">
        <f>GasPrice!E16</f>
        <v>5.1176007811148212</v>
      </c>
      <c r="I38" s="243"/>
      <c r="J38" s="243"/>
      <c r="K38" s="243"/>
      <c r="L38" s="243"/>
      <c r="M38" s="239"/>
      <c r="N38" s="239"/>
      <c r="O38" s="238">
        <f>G38*$M$14</f>
        <v>47.817448687244898</v>
      </c>
      <c r="P38" s="237"/>
      <c r="Q38" s="243"/>
      <c r="R38" s="239"/>
      <c r="S38" s="238">
        <f>G38*$R$14</f>
        <v>34.904608112770248</v>
      </c>
      <c r="T38" s="244"/>
      <c r="U38" s="243"/>
      <c r="V38" s="244"/>
      <c r="W38" s="243"/>
      <c r="X38" s="237"/>
      <c r="Y38" s="241"/>
      <c r="Z38" s="241"/>
      <c r="AA38" s="241"/>
      <c r="AB38" s="241"/>
      <c r="AC38" s="245"/>
    </row>
    <row r="39" spans="1:52" ht="15" x14ac:dyDescent="0.25">
      <c r="A39" s="231">
        <v>41671</v>
      </c>
      <c r="B39" s="232" t="s">
        <v>99</v>
      </c>
      <c r="C39" s="233"/>
      <c r="D39" s="30"/>
      <c r="E39" s="233"/>
      <c r="F39" s="234"/>
      <c r="G39" s="235">
        <f>GasPrice!E17</f>
        <v>5.0849701737344972</v>
      </c>
      <c r="I39" s="243"/>
      <c r="J39" s="243"/>
      <c r="K39" s="243"/>
      <c r="L39" s="243"/>
      <c r="M39" s="239"/>
      <c r="N39" s="239"/>
      <c r="O39" s="238">
        <f>G39*$M$15</f>
        <v>45.24093204748749</v>
      </c>
      <c r="P39" s="237"/>
      <c r="Q39" s="243"/>
      <c r="R39" s="239"/>
      <c r="S39" s="238">
        <f>G39*$R$15</f>
        <v>29.112815321106627</v>
      </c>
      <c r="T39" s="244"/>
      <c r="U39" s="243"/>
      <c r="V39" s="244"/>
      <c r="W39" s="243"/>
      <c r="X39" s="237"/>
      <c r="Y39" s="241"/>
      <c r="Z39" s="241"/>
      <c r="AA39" s="241"/>
      <c r="AB39" s="241"/>
      <c r="AC39" s="245"/>
    </row>
    <row r="40" spans="1:52" ht="15" x14ac:dyDescent="0.25">
      <c r="A40" s="231">
        <v>41699</v>
      </c>
      <c r="B40" s="232" t="s">
        <v>99</v>
      </c>
      <c r="C40" s="233"/>
      <c r="D40" s="30"/>
      <c r="E40" s="233"/>
      <c r="F40" s="234"/>
      <c r="G40" s="235">
        <f>GasPrice!E18</f>
        <v>5.0297491458601087</v>
      </c>
      <c r="I40" s="243"/>
      <c r="J40" s="243"/>
      <c r="K40" s="243"/>
      <c r="L40" s="243"/>
      <c r="M40" s="239"/>
      <c r="N40" s="239"/>
      <c r="O40" s="238">
        <f>G40*$M$16</f>
        <v>41.212489219448024</v>
      </c>
      <c r="P40" s="237"/>
      <c r="Q40" s="243"/>
      <c r="R40" s="239"/>
      <c r="S40" s="238">
        <f>G40*$R$16</f>
        <v>25.553031566481238</v>
      </c>
      <c r="T40" s="244"/>
      <c r="U40" s="243"/>
      <c r="V40" s="244"/>
      <c r="W40" s="243"/>
      <c r="X40" s="237"/>
      <c r="Y40" s="241"/>
      <c r="Z40" s="241"/>
      <c r="AA40" s="241"/>
      <c r="AB40" s="241"/>
      <c r="AC40" s="245"/>
    </row>
    <row r="41" spans="1:52" ht="15" x14ac:dyDescent="0.25">
      <c r="A41" s="231">
        <v>41730</v>
      </c>
      <c r="B41" s="232" t="s">
        <v>99</v>
      </c>
      <c r="C41" s="233"/>
      <c r="D41" s="30"/>
      <c r="E41" s="233"/>
      <c r="F41" s="234"/>
      <c r="G41" s="235">
        <f>GasPrice!E19</f>
        <v>4.8264353614134849</v>
      </c>
      <c r="I41" s="243"/>
      <c r="J41" s="243"/>
      <c r="K41" s="243"/>
      <c r="L41" s="243"/>
      <c r="M41" s="239"/>
      <c r="N41" s="239"/>
      <c r="O41" s="238">
        <f>G41*$M$17</f>
        <v>39.93720332086064</v>
      </c>
      <c r="P41" s="237"/>
      <c r="Q41" s="243"/>
      <c r="R41" s="239"/>
      <c r="S41" s="238">
        <f>G41*$R$17</f>
        <v>22.791879149110287</v>
      </c>
      <c r="T41" s="244"/>
      <c r="U41" s="243"/>
      <c r="V41" s="244"/>
      <c r="W41" s="243"/>
      <c r="X41" s="237"/>
      <c r="Y41" s="241"/>
      <c r="Z41" s="241"/>
      <c r="AA41" s="241"/>
      <c r="AB41" s="241"/>
      <c r="AC41" s="245"/>
    </row>
    <row r="42" spans="1:52" ht="15" x14ac:dyDescent="0.25">
      <c r="A42" s="231">
        <v>41760</v>
      </c>
      <c r="B42" s="232" t="s">
        <v>99</v>
      </c>
      <c r="C42" s="233"/>
      <c r="D42" s="30"/>
      <c r="E42" s="233"/>
      <c r="F42" s="234"/>
      <c r="G42" s="235">
        <f>GasPrice!E20</f>
        <v>4.7837645671469096</v>
      </c>
      <c r="I42" s="243"/>
      <c r="J42" s="243"/>
      <c r="K42" s="243"/>
      <c r="L42" s="243"/>
      <c r="M42" s="239"/>
      <c r="N42" s="239"/>
      <c r="O42" s="238">
        <f>G42*$M$18</f>
        <v>32.835897348098477</v>
      </c>
      <c r="P42" s="237"/>
      <c r="Q42" s="243"/>
      <c r="R42" s="239"/>
      <c r="S42" s="238">
        <f>G42*$R$18</f>
        <v>15.520319401869726</v>
      </c>
      <c r="T42" s="244"/>
      <c r="U42" s="243"/>
      <c r="V42" s="244"/>
      <c r="W42" s="243"/>
      <c r="X42" s="237"/>
      <c r="Y42" s="241"/>
      <c r="Z42" s="241"/>
      <c r="AA42" s="241"/>
      <c r="AB42" s="241"/>
      <c r="AC42" s="245"/>
    </row>
    <row r="43" spans="1:52" ht="15" x14ac:dyDescent="0.25">
      <c r="A43" s="231">
        <v>41791</v>
      </c>
      <c r="B43" s="232" t="s">
        <v>99</v>
      </c>
      <c r="C43" s="233"/>
      <c r="D43" s="30"/>
      <c r="E43" s="233"/>
      <c r="F43" s="234"/>
      <c r="G43" s="235">
        <f>GasPrice!E21</f>
        <v>4.7762344269822199</v>
      </c>
      <c r="I43" s="243"/>
      <c r="J43" s="243"/>
      <c r="K43" s="243"/>
      <c r="L43" s="243"/>
      <c r="M43" s="239"/>
      <c r="N43" s="239"/>
      <c r="O43" s="238">
        <f>G43*$M$19</f>
        <v>28.38290832398782</v>
      </c>
      <c r="P43" s="237"/>
      <c r="Q43" s="243"/>
      <c r="R43" s="239"/>
      <c r="S43" s="238">
        <f>G43*$R$19</f>
        <v>20.94251437510157</v>
      </c>
      <c r="T43" s="244"/>
      <c r="U43" s="243"/>
      <c r="V43" s="244"/>
      <c r="W43" s="243"/>
      <c r="X43" s="237"/>
      <c r="Y43" s="241"/>
      <c r="Z43" s="241"/>
      <c r="AA43" s="241"/>
      <c r="AB43" s="241"/>
      <c r="AC43" s="245"/>
    </row>
    <row r="44" spans="1:52" ht="15" x14ac:dyDescent="0.25">
      <c r="A44" s="231">
        <v>41821</v>
      </c>
      <c r="B44" s="232" t="s">
        <v>99</v>
      </c>
      <c r="C44" s="233"/>
      <c r="D44" s="30"/>
      <c r="E44" s="233"/>
      <c r="F44" s="234"/>
      <c r="G44" s="235">
        <f>GasPrice!E22</f>
        <v>4.791294707311601</v>
      </c>
      <c r="I44" s="243"/>
      <c r="J44" s="243"/>
      <c r="K44" s="243"/>
      <c r="L44" s="243"/>
      <c r="M44" s="239"/>
      <c r="N44" s="239"/>
      <c r="O44" s="238">
        <f>G44*$M$20</f>
        <v>44.779404709266203</v>
      </c>
      <c r="P44" s="237"/>
      <c r="Q44" s="243"/>
      <c r="R44" s="239"/>
      <c r="S44" s="238">
        <f>G44*$R$20</f>
        <v>26.992007119571639</v>
      </c>
      <c r="T44" s="244"/>
      <c r="U44" s="243"/>
      <c r="V44" s="244"/>
      <c r="W44" s="243"/>
      <c r="X44" s="237"/>
      <c r="Y44" s="241"/>
      <c r="Z44" s="241"/>
      <c r="AA44" s="241"/>
      <c r="AB44" s="241"/>
      <c r="AC44" s="245"/>
      <c r="AV44"/>
      <c r="AW44"/>
      <c r="AX44"/>
      <c r="AY44"/>
    </row>
    <row r="45" spans="1:52" ht="15" x14ac:dyDescent="0.25">
      <c r="A45" s="231">
        <v>41852</v>
      </c>
      <c r="B45" s="232" t="s">
        <v>99</v>
      </c>
      <c r="C45" s="233"/>
      <c r="D45" s="30"/>
      <c r="E45" s="233"/>
      <c r="F45" s="234"/>
      <c r="G45" s="235">
        <f>GasPrice!E23</f>
        <v>4.8038449409194159</v>
      </c>
      <c r="I45" s="243"/>
      <c r="J45" s="243"/>
      <c r="K45" s="243"/>
      <c r="L45" s="243"/>
      <c r="M45" s="239"/>
      <c r="N45" s="239"/>
      <c r="O45" s="238">
        <f>G45*$M$21</f>
        <v>52.395975842085214</v>
      </c>
      <c r="P45" s="237"/>
      <c r="Q45" s="243"/>
      <c r="R45" s="239"/>
      <c r="S45" s="238">
        <f>G45*$R$21</f>
        <v>28.166746187121792</v>
      </c>
      <c r="T45" s="244"/>
      <c r="U45" s="243"/>
      <c r="V45" s="244"/>
      <c r="W45" s="243"/>
      <c r="X45" s="237"/>
      <c r="Y45" s="241"/>
      <c r="Z45" s="241"/>
      <c r="AA45" s="241"/>
      <c r="AB45" s="241"/>
      <c r="AC45" s="245"/>
      <c r="AM45" s="159"/>
      <c r="AU45" s="159"/>
      <c r="AV45"/>
      <c r="AW45"/>
      <c r="AX45"/>
      <c r="AY45"/>
    </row>
    <row r="46" spans="1:52" ht="15" x14ac:dyDescent="0.25">
      <c r="A46" s="231">
        <v>41883</v>
      </c>
      <c r="B46" s="232" t="s">
        <v>99</v>
      </c>
      <c r="C46" s="233"/>
      <c r="D46" s="30"/>
      <c r="E46" s="233"/>
      <c r="F46" s="234"/>
      <c r="G46" s="235">
        <f>GasPrice!E24</f>
        <v>4.849025781907554</v>
      </c>
      <c r="I46" s="243"/>
      <c r="J46" s="243"/>
      <c r="K46" s="243"/>
      <c r="L46" s="243"/>
      <c r="M46" s="239"/>
      <c r="N46" s="239"/>
      <c r="O46" s="238">
        <f>G46*$M$22</f>
        <v>40.340770764175325</v>
      </c>
      <c r="P46" s="237"/>
      <c r="Q46" s="243"/>
      <c r="R46" s="239"/>
      <c r="S46" s="238">
        <f>G46*$R$22</f>
        <v>24.861581170370908</v>
      </c>
      <c r="T46" s="244"/>
      <c r="U46" s="243"/>
      <c r="V46" s="244"/>
      <c r="W46" s="243"/>
      <c r="X46" s="237"/>
      <c r="Y46" s="241"/>
      <c r="Z46" s="241"/>
      <c r="AA46" s="241"/>
      <c r="AB46" s="241"/>
      <c r="AC46" s="245"/>
      <c r="AL46" s="155"/>
      <c r="AM46" s="170"/>
      <c r="AN46" s="170"/>
      <c r="AO46" s="170"/>
      <c r="AP46" s="170"/>
      <c r="AQ46" s="170"/>
      <c r="AR46" s="170"/>
      <c r="AT46" s="155"/>
      <c r="AU46" s="170"/>
      <c r="AV46" s="170"/>
      <c r="AW46" s="170"/>
      <c r="AX46" s="170"/>
      <c r="AY46" s="170"/>
      <c r="AZ46" s="170"/>
    </row>
    <row r="47" spans="1:52" ht="15" x14ac:dyDescent="0.25">
      <c r="A47" s="231">
        <v>41913</v>
      </c>
      <c r="B47" s="232" t="s">
        <v>99</v>
      </c>
      <c r="C47" s="233"/>
      <c r="D47" s="30"/>
      <c r="E47" s="233"/>
      <c r="F47" s="234"/>
      <c r="G47" s="235">
        <f>GasPrice!E25</f>
        <v>4.7604056904802778</v>
      </c>
      <c r="I47" s="243"/>
      <c r="J47" s="243"/>
      <c r="K47" s="243"/>
      <c r="L47" s="243"/>
      <c r="M47" s="239"/>
      <c r="N47" s="239"/>
      <c r="O47" s="238">
        <f>G47*$M$23</f>
        <v>43.153317395161089</v>
      </c>
      <c r="P47" s="237"/>
      <c r="Q47" s="243"/>
      <c r="R47" s="239"/>
      <c r="S47" s="238">
        <f>G47*$R$23</f>
        <v>25.5722372910842</v>
      </c>
      <c r="T47" s="244"/>
      <c r="U47" s="243"/>
      <c r="V47" s="244"/>
      <c r="W47" s="243"/>
      <c r="X47" s="237"/>
      <c r="Y47" s="241"/>
      <c r="Z47" s="241"/>
      <c r="AA47" s="241"/>
      <c r="AB47" s="241"/>
      <c r="AC47" s="245"/>
      <c r="AL47" s="179"/>
      <c r="AM47" s="180"/>
      <c r="AN47" s="180"/>
      <c r="AO47" s="180"/>
      <c r="AP47" s="180"/>
      <c r="AQ47" s="180"/>
      <c r="AR47" s="181"/>
      <c r="AT47" s="179"/>
      <c r="AU47" s="180"/>
      <c r="AV47" s="180"/>
      <c r="AW47" s="180"/>
      <c r="AX47" s="180"/>
      <c r="AY47" s="180"/>
      <c r="AZ47" s="181"/>
    </row>
    <row r="48" spans="1:52" ht="15" x14ac:dyDescent="0.25">
      <c r="A48" s="231">
        <v>41944</v>
      </c>
      <c r="B48" s="232" t="s">
        <v>99</v>
      </c>
      <c r="C48" s="233"/>
      <c r="D48" s="30"/>
      <c r="E48" s="233"/>
      <c r="F48" s="234"/>
      <c r="G48" s="235">
        <f>GasPrice!E26</f>
        <v>4.9894427129649204</v>
      </c>
      <c r="I48" s="243"/>
      <c r="J48" s="243"/>
      <c r="K48" s="243"/>
      <c r="L48" s="243"/>
      <c r="M48" s="239"/>
      <c r="N48" s="239"/>
      <c r="O48" s="238">
        <f>G48*$M$24</f>
        <v>40.651819351668877</v>
      </c>
      <c r="P48" s="237"/>
      <c r="Q48" s="243"/>
      <c r="R48" s="239"/>
      <c r="S48" s="238">
        <f>G48*$R$24</f>
        <v>24.183997314002553</v>
      </c>
      <c r="T48" s="244"/>
      <c r="U48" s="243"/>
      <c r="V48" s="244"/>
      <c r="W48" s="243"/>
      <c r="X48" s="237"/>
      <c r="Y48" s="241"/>
      <c r="Z48" s="241"/>
      <c r="AA48" s="241"/>
      <c r="AB48" s="241"/>
      <c r="AC48" s="245"/>
      <c r="AL48" s="179"/>
      <c r="AM48" s="180"/>
      <c r="AN48" s="180"/>
      <c r="AO48" s="180"/>
      <c r="AP48" s="180"/>
      <c r="AQ48" s="180"/>
      <c r="AR48" s="181"/>
      <c r="AT48" s="179"/>
      <c r="AU48" s="180"/>
      <c r="AV48" s="180"/>
      <c r="AW48" s="180"/>
      <c r="AX48" s="180"/>
      <c r="AY48" s="180"/>
      <c r="AZ48" s="181"/>
    </row>
    <row r="49" spans="1:52" ht="15" x14ac:dyDescent="0.25">
      <c r="A49" s="231">
        <v>41974</v>
      </c>
      <c r="B49" s="232" t="s">
        <v>99</v>
      </c>
      <c r="C49" s="233"/>
      <c r="D49" s="30"/>
      <c r="E49" s="233"/>
      <c r="F49" s="234"/>
      <c r="G49" s="235">
        <f>GasPrice!E27</f>
        <v>5.1684423679247642</v>
      </c>
      <c r="I49" s="243"/>
      <c r="J49" s="243"/>
      <c r="K49" s="243"/>
      <c r="L49" s="243"/>
      <c r="M49" s="239"/>
      <c r="N49" s="239"/>
      <c r="O49" s="238">
        <f>G49*$M$25</f>
        <v>36.455831723517242</v>
      </c>
      <c r="P49" s="237"/>
      <c r="Q49" s="243"/>
      <c r="R49" s="239"/>
      <c r="S49" s="238">
        <f>G49*$R$25</f>
        <v>27.237158877676496</v>
      </c>
      <c r="T49" s="244"/>
      <c r="U49" s="243"/>
      <c r="V49" s="244"/>
      <c r="W49" s="243"/>
      <c r="X49" s="237"/>
      <c r="Y49" s="241"/>
      <c r="Z49" s="241"/>
      <c r="AA49" s="241"/>
      <c r="AB49" s="241"/>
      <c r="AC49" s="245"/>
      <c r="AL49" s="179"/>
      <c r="AM49" s="180"/>
      <c r="AN49" s="180"/>
      <c r="AO49" s="180"/>
      <c r="AP49" s="180"/>
      <c r="AQ49" s="180"/>
      <c r="AR49" s="181"/>
      <c r="AT49" s="179"/>
      <c r="AU49" s="180"/>
      <c r="AV49" s="180"/>
      <c r="AW49" s="180"/>
      <c r="AX49" s="180"/>
      <c r="AY49" s="180"/>
      <c r="AZ49" s="181"/>
    </row>
    <row r="50" spans="1:52" ht="15" x14ac:dyDescent="0.25">
      <c r="A50" s="231">
        <v>42005</v>
      </c>
      <c r="B50" s="232" t="s">
        <v>99</v>
      </c>
      <c r="C50" s="233"/>
      <c r="D50" s="30"/>
      <c r="E50" s="233"/>
      <c r="F50" s="234"/>
      <c r="G50" s="235">
        <f>GasPrice!E28</f>
        <v>5.4845547061985966</v>
      </c>
      <c r="I50" s="243"/>
      <c r="J50" s="243"/>
      <c r="K50" s="243"/>
      <c r="L50" s="243"/>
      <c r="M50" s="239"/>
      <c r="N50" s="239"/>
      <c r="O50" s="238">
        <f>G50*$M$14</f>
        <v>51.246164844243395</v>
      </c>
      <c r="P50" s="237"/>
      <c r="Q50" s="243"/>
      <c r="R50" s="239"/>
      <c r="S50" s="238">
        <f>G50*$R$14</f>
        <v>37.407418218192703</v>
      </c>
      <c r="T50" s="244"/>
      <c r="U50" s="243"/>
      <c r="V50" s="244"/>
      <c r="W50" s="243"/>
      <c r="X50" s="237"/>
      <c r="Y50" s="241"/>
      <c r="Z50" s="241"/>
      <c r="AA50" s="241"/>
      <c r="AB50" s="241"/>
      <c r="AC50" s="245"/>
      <c r="AL50" s="179"/>
      <c r="AM50" s="180"/>
      <c r="AN50" s="180"/>
      <c r="AO50" s="180"/>
      <c r="AP50" s="180"/>
      <c r="AQ50" s="180"/>
      <c r="AR50" s="181"/>
      <c r="AT50" s="179"/>
      <c r="AU50" s="180"/>
      <c r="AV50" s="180"/>
      <c r="AW50" s="180"/>
      <c r="AX50" s="180"/>
      <c r="AY50" s="180"/>
      <c r="AZ50" s="181"/>
    </row>
    <row r="51" spans="1:52" ht="15" x14ac:dyDescent="0.25">
      <c r="A51" s="231">
        <v>42036</v>
      </c>
      <c r="B51" s="232" t="s">
        <v>99</v>
      </c>
      <c r="C51" s="233"/>
      <c r="D51" s="30"/>
      <c r="E51" s="233"/>
      <c r="F51" s="234"/>
      <c r="G51" s="235">
        <f>GasPrice!E29</f>
        <v>5.4495843443184171</v>
      </c>
      <c r="I51" s="243"/>
      <c r="J51" s="243"/>
      <c r="K51" s="243"/>
      <c r="L51" s="243"/>
      <c r="M51" s="239"/>
      <c r="N51" s="239"/>
      <c r="O51" s="238">
        <f>G51*$M$15</f>
        <v>48.484900910892549</v>
      </c>
      <c r="P51" s="237"/>
      <c r="Q51" s="243"/>
      <c r="R51" s="239"/>
      <c r="S51" s="238">
        <f>G51*$R$15</f>
        <v>31.200329042720515</v>
      </c>
      <c r="T51" s="244"/>
      <c r="U51" s="243"/>
      <c r="V51" s="244"/>
      <c r="W51" s="243"/>
      <c r="X51" s="237"/>
      <c r="Y51" s="241"/>
      <c r="Z51" s="241"/>
      <c r="AA51" s="241"/>
      <c r="AB51" s="241"/>
      <c r="AC51" s="245"/>
      <c r="AL51" s="179"/>
      <c r="AM51" s="180"/>
      <c r="AN51" s="180"/>
      <c r="AO51" s="180"/>
      <c r="AP51" s="180"/>
      <c r="AQ51" s="180"/>
      <c r="AR51" s="181"/>
      <c r="AT51" s="179"/>
      <c r="AU51" s="180"/>
      <c r="AV51" s="180"/>
      <c r="AW51" s="180"/>
      <c r="AX51" s="180"/>
      <c r="AY51" s="180"/>
      <c r="AZ51" s="181"/>
    </row>
    <row r="52" spans="1:52" ht="15" x14ac:dyDescent="0.25">
      <c r="A52" s="231">
        <v>42064</v>
      </c>
      <c r="B52" s="232" t="s">
        <v>99</v>
      </c>
      <c r="C52" s="233"/>
      <c r="D52" s="30"/>
      <c r="E52" s="233"/>
      <c r="F52" s="234"/>
      <c r="G52" s="235">
        <f>GasPrice!E30</f>
        <v>5.3904037319058116</v>
      </c>
      <c r="I52" s="243"/>
      <c r="J52" s="243"/>
      <c r="K52" s="243"/>
      <c r="L52" s="243"/>
      <c r="M52" s="239"/>
      <c r="N52" s="239"/>
      <c r="O52" s="238">
        <f>G52*$M$16</f>
        <v>44.167601454336889</v>
      </c>
      <c r="P52" s="237"/>
      <c r="Q52" s="243"/>
      <c r="R52" s="239"/>
      <c r="S52" s="238">
        <f>G52*$R$16</f>
        <v>27.385293525192921</v>
      </c>
      <c r="T52" s="244"/>
      <c r="U52" s="243"/>
      <c r="V52" s="244"/>
      <c r="W52" s="243"/>
      <c r="X52" s="237"/>
      <c r="Y52" s="241"/>
      <c r="Z52" s="241"/>
      <c r="AA52" s="241"/>
      <c r="AB52" s="241"/>
      <c r="AC52" s="245"/>
      <c r="AL52" s="179"/>
      <c r="AM52" s="180"/>
      <c r="AN52" s="180"/>
      <c r="AO52" s="180"/>
      <c r="AP52" s="180"/>
      <c r="AQ52" s="180"/>
      <c r="AR52" s="181"/>
      <c r="AT52" s="179"/>
      <c r="AU52" s="180"/>
      <c r="AV52" s="180"/>
      <c r="AW52" s="180"/>
      <c r="AX52" s="180"/>
      <c r="AY52" s="180"/>
      <c r="AZ52" s="181"/>
    </row>
    <row r="53" spans="1:52" ht="15" x14ac:dyDescent="0.25">
      <c r="A53" s="231">
        <v>42095</v>
      </c>
      <c r="B53" s="232" t="s">
        <v>99</v>
      </c>
      <c r="C53" s="233"/>
      <c r="D53" s="30"/>
      <c r="E53" s="233"/>
      <c r="F53" s="234"/>
      <c r="G53" s="235">
        <f>GasPrice!E31</f>
        <v>5.1725114771139351</v>
      </c>
      <c r="I53" s="243"/>
      <c r="J53" s="243"/>
      <c r="K53" s="243"/>
      <c r="L53" s="243"/>
      <c r="M53" s="239"/>
      <c r="N53" s="239"/>
      <c r="O53" s="238">
        <f>G53*$M$17</f>
        <v>42.800872087197298</v>
      </c>
      <c r="P53" s="237"/>
      <c r="Q53" s="243"/>
      <c r="R53" s="239"/>
      <c r="S53" s="238">
        <f>G53*$R$17</f>
        <v>24.426154637082046</v>
      </c>
      <c r="T53" s="244"/>
      <c r="U53" s="243"/>
      <c r="V53" s="244"/>
      <c r="W53" s="243"/>
      <c r="X53" s="237"/>
      <c r="Y53" s="241"/>
      <c r="Z53" s="241"/>
      <c r="AA53" s="241"/>
      <c r="AB53" s="241"/>
      <c r="AC53" s="245"/>
      <c r="AL53" s="179"/>
      <c r="AM53" s="180"/>
      <c r="AN53" s="180"/>
      <c r="AO53" s="180"/>
      <c r="AP53" s="180"/>
      <c r="AQ53" s="180"/>
      <c r="AR53" s="181"/>
      <c r="AT53" s="179"/>
      <c r="AU53" s="180"/>
      <c r="AV53" s="180"/>
      <c r="AW53" s="180"/>
      <c r="AX53" s="180"/>
      <c r="AY53" s="180"/>
      <c r="AZ53" s="181"/>
    </row>
    <row r="54" spans="1:52" ht="15" x14ac:dyDescent="0.25">
      <c r="A54" s="231">
        <v>42125</v>
      </c>
      <c r="B54" s="232" t="s">
        <v>99</v>
      </c>
      <c r="C54" s="233"/>
      <c r="D54" s="30"/>
      <c r="E54" s="233"/>
      <c r="F54" s="234"/>
      <c r="G54" s="235">
        <f>GasPrice!E32</f>
        <v>5.1267810038860109</v>
      </c>
      <c r="I54" s="243"/>
      <c r="J54" s="243"/>
      <c r="K54" s="243"/>
      <c r="L54" s="243"/>
      <c r="M54" s="239"/>
      <c r="N54" s="239"/>
      <c r="O54" s="238">
        <f>G54*$M$18</f>
        <v>35.190372019119586</v>
      </c>
      <c r="P54" s="237"/>
      <c r="Q54" s="243"/>
      <c r="R54" s="239"/>
      <c r="S54" s="238">
        <f>G54*$R$18</f>
        <v>16.633192868687768</v>
      </c>
      <c r="T54" s="244"/>
      <c r="U54" s="243"/>
      <c r="V54" s="244"/>
      <c r="W54" s="243"/>
      <c r="X54" s="237"/>
      <c r="Y54" s="241"/>
      <c r="Z54" s="241"/>
      <c r="AA54" s="241"/>
      <c r="AB54" s="241"/>
      <c r="AC54" s="245"/>
      <c r="AL54" s="179"/>
      <c r="AM54" s="180"/>
      <c r="AN54" s="180"/>
      <c r="AO54" s="180"/>
      <c r="AP54" s="180"/>
      <c r="AQ54" s="180"/>
      <c r="AR54" s="181"/>
      <c r="AT54" s="179"/>
      <c r="AU54" s="180"/>
      <c r="AV54" s="180"/>
      <c r="AW54" s="180"/>
      <c r="AX54" s="180"/>
      <c r="AY54" s="180"/>
      <c r="AZ54" s="181"/>
    </row>
    <row r="55" spans="1:52" ht="15" x14ac:dyDescent="0.25">
      <c r="A55" s="231">
        <v>42156</v>
      </c>
      <c r="B55" s="232" t="s">
        <v>99</v>
      </c>
      <c r="C55" s="233"/>
      <c r="D55" s="30"/>
      <c r="E55" s="233"/>
      <c r="F55" s="234"/>
      <c r="G55" s="235">
        <f>GasPrice!E33</f>
        <v>5.1187109203752001</v>
      </c>
      <c r="I55" s="243"/>
      <c r="J55" s="243"/>
      <c r="K55" s="243"/>
      <c r="L55" s="243"/>
      <c r="M55" s="239"/>
      <c r="N55" s="239"/>
      <c r="O55" s="238">
        <f>G55*$M$19</f>
        <v>30.418084583381663</v>
      </c>
      <c r="P55" s="237"/>
      <c r="Q55" s="243"/>
      <c r="R55" s="239"/>
      <c r="S55" s="238">
        <f>G55*$R$19</f>
        <v>22.444182476964105</v>
      </c>
      <c r="T55" s="244"/>
      <c r="U55" s="243"/>
      <c r="V55" s="244"/>
      <c r="W55" s="243"/>
      <c r="X55" s="237"/>
      <c r="Y55" s="241"/>
      <c r="Z55" s="241"/>
      <c r="AA55" s="241"/>
      <c r="AB55" s="241"/>
      <c r="AC55" s="245"/>
      <c r="AL55" s="179"/>
      <c r="AM55" s="180"/>
      <c r="AN55" s="180"/>
      <c r="AO55" s="180"/>
      <c r="AP55" s="180"/>
      <c r="AQ55" s="180"/>
      <c r="AR55" s="181"/>
      <c r="AT55" s="179"/>
      <c r="AU55" s="180"/>
      <c r="AV55" s="180"/>
      <c r="AW55" s="180"/>
      <c r="AX55" s="180"/>
      <c r="AY55" s="180"/>
      <c r="AZ55" s="181"/>
    </row>
    <row r="56" spans="1:52" ht="15" x14ac:dyDescent="0.25">
      <c r="A56" s="231">
        <v>42186</v>
      </c>
      <c r="B56" s="232" t="s">
        <v>99</v>
      </c>
      <c r="C56" s="233"/>
      <c r="D56" s="30"/>
      <c r="E56" s="233"/>
      <c r="F56" s="234"/>
      <c r="G56" s="235">
        <f>GasPrice!E34</f>
        <v>5.1348510873968225</v>
      </c>
      <c r="I56" s="243"/>
      <c r="J56" s="243"/>
      <c r="K56" s="243"/>
      <c r="L56" s="243"/>
      <c r="M56" s="239"/>
      <c r="N56" s="239"/>
      <c r="O56" s="238">
        <f>G56*$M$20</f>
        <v>47.990280083058174</v>
      </c>
      <c r="P56" s="237"/>
      <c r="Q56" s="243"/>
      <c r="R56" s="239"/>
      <c r="S56" s="238">
        <f>G56*$R$20</f>
        <v>28.927449797118349</v>
      </c>
      <c r="T56" s="244"/>
      <c r="U56" s="243"/>
      <c r="V56" s="244"/>
      <c r="W56" s="243"/>
      <c r="X56" s="237"/>
      <c r="Y56" s="241"/>
      <c r="Z56" s="241"/>
      <c r="AA56" s="241"/>
      <c r="AB56" s="241"/>
      <c r="AC56" s="245"/>
      <c r="AL56" s="179"/>
      <c r="AM56" s="180"/>
      <c r="AN56" s="180"/>
      <c r="AO56" s="180"/>
      <c r="AP56" s="180"/>
      <c r="AQ56" s="180"/>
      <c r="AR56" s="181"/>
      <c r="AT56" s="179"/>
      <c r="AU56" s="180"/>
      <c r="AV56" s="180"/>
      <c r="AW56" s="180"/>
      <c r="AX56" s="180"/>
      <c r="AY56" s="180"/>
      <c r="AZ56" s="181"/>
    </row>
    <row r="57" spans="1:52" x14ac:dyDescent="0.3">
      <c r="A57" s="231">
        <v>42217</v>
      </c>
      <c r="B57" s="232" t="s">
        <v>99</v>
      </c>
      <c r="C57" s="233"/>
      <c r="D57" s="30"/>
      <c r="E57" s="233"/>
      <c r="F57" s="234"/>
      <c r="G57" s="235">
        <f>GasPrice!E35</f>
        <v>5.1483012265815056</v>
      </c>
      <c r="I57" s="243"/>
      <c r="J57" s="243"/>
      <c r="K57" s="243"/>
      <c r="L57" s="243"/>
      <c r="M57" s="239"/>
      <c r="N57" s="239"/>
      <c r="O57" s="238">
        <f>G57*$M$21</f>
        <v>56.15299203310969</v>
      </c>
      <c r="P57" s="237"/>
      <c r="Q57" s="243"/>
      <c r="R57" s="239"/>
      <c r="S57" s="238">
        <f>G57*$R$21</f>
        <v>30.186422694196118</v>
      </c>
      <c r="T57" s="244"/>
      <c r="U57" s="243"/>
      <c r="V57" s="244"/>
      <c r="W57" s="243"/>
      <c r="X57" s="237"/>
      <c r="Y57" s="241"/>
      <c r="Z57" s="241"/>
      <c r="AA57" s="241"/>
      <c r="AB57" s="241"/>
      <c r="AC57" s="245"/>
      <c r="AL57" s="179"/>
      <c r="AM57" s="180"/>
      <c r="AN57" s="180"/>
      <c r="AO57" s="180"/>
      <c r="AP57" s="180"/>
      <c r="AQ57" s="180"/>
      <c r="AR57" s="181"/>
      <c r="AT57" s="179"/>
      <c r="AU57" s="180"/>
      <c r="AV57" s="180"/>
      <c r="AW57" s="180"/>
      <c r="AX57" s="180"/>
      <c r="AY57" s="180"/>
      <c r="AZ57" s="181"/>
    </row>
    <row r="58" spans="1:52" x14ac:dyDescent="0.3">
      <c r="A58" s="231">
        <v>42248</v>
      </c>
      <c r="B58" s="232" t="s">
        <v>99</v>
      </c>
      <c r="C58" s="233"/>
      <c r="D58" s="30"/>
      <c r="E58" s="233"/>
      <c r="F58" s="234"/>
      <c r="G58" s="235">
        <f>GasPrice!E36</f>
        <v>5.1967217276463655</v>
      </c>
      <c r="I58" s="243"/>
      <c r="J58" s="243"/>
      <c r="K58" s="243"/>
      <c r="L58" s="243"/>
      <c r="M58" s="239"/>
      <c r="N58" s="239"/>
      <c r="O58" s="238">
        <f>G58*$M$22</f>
        <v>43.233377047073809</v>
      </c>
      <c r="P58" s="237"/>
      <c r="Q58" s="243"/>
      <c r="R58" s="239"/>
      <c r="S58" s="238">
        <f>G58*$R$22</f>
        <v>26.644263170092877</v>
      </c>
      <c r="T58" s="244"/>
      <c r="U58" s="243"/>
      <c r="V58" s="244"/>
      <c r="W58" s="243"/>
      <c r="X58" s="237"/>
      <c r="Y58" s="241"/>
      <c r="Z58" s="241"/>
      <c r="AA58" s="241"/>
      <c r="AB58" s="241"/>
      <c r="AC58" s="245"/>
      <c r="AL58" s="179"/>
      <c r="AM58" s="180"/>
      <c r="AN58" s="180"/>
      <c r="AO58" s="180"/>
      <c r="AP58" s="180"/>
      <c r="AQ58" s="180"/>
      <c r="AR58" s="181"/>
      <c r="AT58" s="179"/>
      <c r="AU58" s="180"/>
      <c r="AV58" s="180"/>
      <c r="AW58" s="180"/>
      <c r="AX58" s="180"/>
      <c r="AY58" s="180"/>
      <c r="AZ58" s="181"/>
    </row>
    <row r="59" spans="1:52" x14ac:dyDescent="0.3">
      <c r="A59" s="231">
        <v>42278</v>
      </c>
      <c r="B59" s="232" t="s">
        <v>99</v>
      </c>
      <c r="C59" s="246"/>
      <c r="G59" s="235">
        <f>GasPrice!E37</f>
        <v>5.101747195577583</v>
      </c>
      <c r="O59" s="238">
        <f>G59*$M$23</f>
        <v>46.247595334342336</v>
      </c>
      <c r="S59" s="238">
        <f>G59*$R$23</f>
        <v>27.4058763826221</v>
      </c>
      <c r="T59" s="237"/>
      <c r="V59" s="237"/>
      <c r="AM59" s="247"/>
      <c r="AN59" s="247"/>
      <c r="AO59" s="247"/>
      <c r="AP59" s="247"/>
      <c r="AQ59" s="247"/>
      <c r="AU59" s="247"/>
      <c r="AV59" s="247"/>
      <c r="AW59" s="247"/>
      <c r="AX59" s="247"/>
      <c r="AY59" s="247"/>
    </row>
    <row r="60" spans="1:52" x14ac:dyDescent="0.3">
      <c r="A60" s="231">
        <v>42309</v>
      </c>
      <c r="B60" s="232" t="s">
        <v>99</v>
      </c>
      <c r="C60" s="246"/>
      <c r="G60" s="235">
        <f>GasPrice!E38</f>
        <v>5.3472071549002038</v>
      </c>
      <c r="O60" s="238">
        <f>G60*$M$24</f>
        <v>43.566729152359081</v>
      </c>
      <c r="S60" s="238">
        <f>G60*$R$24</f>
        <v>25.918093645107049</v>
      </c>
      <c r="T60" s="237"/>
      <c r="V60" s="237"/>
      <c r="AL60" s="179"/>
      <c r="AM60" s="247"/>
      <c r="AN60" s="247"/>
      <c r="AO60" s="247"/>
      <c r="AP60" s="247"/>
      <c r="AQ60" s="247"/>
      <c r="AR60" s="248"/>
      <c r="AT60" s="179"/>
      <c r="AU60" s="247"/>
      <c r="AV60" s="247"/>
      <c r="AW60" s="247"/>
      <c r="AX60" s="247"/>
      <c r="AY60" s="247"/>
      <c r="AZ60" s="248"/>
    </row>
    <row r="61" spans="1:52" x14ac:dyDescent="0.3">
      <c r="A61" s="231">
        <v>42339</v>
      </c>
      <c r="B61" s="232" t="s">
        <v>99</v>
      </c>
      <c r="C61" s="246"/>
      <c r="G61" s="235">
        <f>GasPrice!E39</f>
        <v>5.5390418528392802</v>
      </c>
      <c r="O61" s="238">
        <f>G61*$M$25</f>
        <v>39.069871214933791</v>
      </c>
      <c r="S61" s="238">
        <f>G61*$R$25</f>
        <v>29.190179987720281</v>
      </c>
      <c r="AL61" s="179"/>
      <c r="AN61" s="249"/>
      <c r="AO61" s="249"/>
      <c r="AP61" s="249"/>
      <c r="AT61" s="179"/>
      <c r="AV61" s="249"/>
      <c r="AW61" s="249"/>
      <c r="AX61" s="249"/>
      <c r="AY61"/>
    </row>
    <row r="62" spans="1:52" x14ac:dyDescent="0.3">
      <c r="A62" s="231">
        <v>42370</v>
      </c>
      <c r="B62" s="232" t="s">
        <v>99</v>
      </c>
      <c r="C62" s="246"/>
      <c r="G62" s="235">
        <f>GasPrice!E40</f>
        <v>5.7994814347661645</v>
      </c>
      <c r="O62" s="238">
        <f>G62*$M$14</f>
        <v>54.18875324212955</v>
      </c>
      <c r="S62" s="238">
        <f>G62*$R$14</f>
        <v>39.55537670793116</v>
      </c>
    </row>
    <row r="63" spans="1:52" x14ac:dyDescent="0.3">
      <c r="A63" s="231">
        <v>42401</v>
      </c>
      <c r="B63" s="232" t="s">
        <v>99</v>
      </c>
      <c r="C63" s="246"/>
      <c r="G63" s="235">
        <f>GasPrice!E41</f>
        <v>5.7625030517696487</v>
      </c>
      <c r="O63" s="238">
        <f>G63*$M$15</f>
        <v>51.268935722603516</v>
      </c>
      <c r="S63" s="238">
        <f>G63*$R$15</f>
        <v>32.991872400752953</v>
      </c>
    </row>
    <row r="64" spans="1:52" x14ac:dyDescent="0.3">
      <c r="A64" s="231">
        <v>42430</v>
      </c>
      <c r="B64" s="232" t="s">
        <v>99</v>
      </c>
      <c r="C64" s="246"/>
      <c r="G64" s="235">
        <f>GasPrice!E42</f>
        <v>5.6999242497755516</v>
      </c>
      <c r="O64" s="238">
        <f>G64*$M$16</f>
        <v>46.703734099521377</v>
      </c>
      <c r="S64" s="238">
        <f>G64*$R$16</f>
        <v>28.957775041514466</v>
      </c>
    </row>
    <row r="65" spans="1:19" x14ac:dyDescent="0.3">
      <c r="A65" s="231">
        <v>42461</v>
      </c>
      <c r="B65" s="232" t="s">
        <v>99</v>
      </c>
      <c r="C65" s="246"/>
      <c r="G65" s="235">
        <f>GasPrice!E43</f>
        <v>5.4695204787972722</v>
      </c>
      <c r="O65" s="238">
        <f>G65*$M$17</f>
        <v>45.258526235678303</v>
      </c>
      <c r="S65" s="238">
        <f>G65*$R$17</f>
        <v>25.828720457539237</v>
      </c>
    </row>
    <row r="66" spans="1:19" x14ac:dyDescent="0.3">
      <c r="A66" s="231">
        <v>42491</v>
      </c>
      <c r="B66" s="232" t="s">
        <v>99</v>
      </c>
      <c r="C66" s="246"/>
      <c r="G66" s="235">
        <f>GasPrice!E44</f>
        <v>5.4211641318018309</v>
      </c>
      <c r="O66" s="238">
        <f>G66*$M$18</f>
        <v>37.211026261939296</v>
      </c>
      <c r="S66" s="238">
        <f>G66*$R$18</f>
        <v>17.588281712974258</v>
      </c>
    </row>
    <row r="67" spans="1:19" x14ac:dyDescent="0.3">
      <c r="A67" s="231">
        <v>42522</v>
      </c>
      <c r="B67" s="232" t="s">
        <v>99</v>
      </c>
      <c r="C67" s="246"/>
      <c r="G67" s="235">
        <f>GasPrice!E45</f>
        <v>5.4126306588026347</v>
      </c>
      <c r="O67" s="238">
        <f>G67*$M$19</f>
        <v>32.164710951482128</v>
      </c>
      <c r="S67" s="238">
        <f>G67*$R$19</f>
        <v>23.732942156005201</v>
      </c>
    </row>
    <row r="68" spans="1:19" x14ac:dyDescent="0.3">
      <c r="A68" s="231">
        <v>42552</v>
      </c>
      <c r="B68" s="232" t="s">
        <v>99</v>
      </c>
      <c r="C68" s="246"/>
      <c r="G68" s="235">
        <f>GasPrice!E46</f>
        <v>5.4296976048010279</v>
      </c>
      <c r="O68" s="238">
        <f>G68*$M$20</f>
        <v>50.745913442411442</v>
      </c>
      <c r="S68" s="238">
        <f>G68*$R$20</f>
        <v>30.58848293807927</v>
      </c>
    </row>
    <row r="69" spans="1:19" x14ac:dyDescent="0.3">
      <c r="A69" s="231">
        <v>42583</v>
      </c>
      <c r="B69" s="232" t="s">
        <v>99</v>
      </c>
      <c r="C69" s="246"/>
      <c r="G69" s="235">
        <f>GasPrice!E47</f>
        <v>5.4439200597996864</v>
      </c>
      <c r="O69" s="238">
        <f>G69*$M$21</f>
        <v>59.377333666584796</v>
      </c>
      <c r="S69" s="238">
        <f>G69*$R$21</f>
        <v>31.919746884671746</v>
      </c>
    </row>
    <row r="70" spans="1:19" x14ac:dyDescent="0.3">
      <c r="A70" s="231">
        <v>42614</v>
      </c>
      <c r="B70" s="232" t="s">
        <v>99</v>
      </c>
      <c r="C70" s="246"/>
      <c r="G70" s="235">
        <f>GasPrice!E48</f>
        <v>5.495120897794858</v>
      </c>
      <c r="O70" s="238">
        <f>G70*$M$22</f>
        <v>45.715865914032364</v>
      </c>
      <c r="S70" s="238">
        <f>G70*$R$22</f>
        <v>28.174194237380302</v>
      </c>
    </row>
    <row r="71" spans="1:19" x14ac:dyDescent="0.3">
      <c r="A71" s="231">
        <v>42644</v>
      </c>
      <c r="B71" s="232" t="s">
        <v>99</v>
      </c>
      <c r="C71" s="246"/>
      <c r="G71" s="235">
        <f>GasPrice!E49</f>
        <v>5.3946928658005753</v>
      </c>
      <c r="O71" s="238">
        <f>G71*$M$23</f>
        <v>48.903162592391631</v>
      </c>
      <c r="S71" s="238">
        <f>G71*$R$23</f>
        <v>28.979539780117591</v>
      </c>
    </row>
    <row r="72" spans="1:19" x14ac:dyDescent="0.3">
      <c r="A72" s="231">
        <v>42675</v>
      </c>
      <c r="B72" s="232" t="s">
        <v>99</v>
      </c>
      <c r="C72" s="246"/>
      <c r="G72" s="235">
        <f>GasPrice!E50</f>
        <v>5.6542472969855035</v>
      </c>
      <c r="O72" s="238">
        <f>G72*$M$24</f>
        <v>46.068359315849868</v>
      </c>
      <c r="S72" s="238">
        <f>G72*$R$24</f>
        <v>27.406327581972786</v>
      </c>
    </row>
    <row r="73" spans="1:19" x14ac:dyDescent="0.3">
      <c r="A73" s="231">
        <v>42705</v>
      </c>
      <c r="B73" s="232" t="s">
        <v>99</v>
      </c>
      <c r="C73" s="246"/>
      <c r="G73" s="235">
        <f>GasPrice!E51</f>
        <v>5.8570972691052567</v>
      </c>
      <c r="O73" s="238">
        <f>G73*$M$25</f>
        <v>41.313288846153561</v>
      </c>
      <c r="S73" s="238">
        <f>G73*$R$25</f>
        <v>30.866299268551167</v>
      </c>
    </row>
    <row r="74" spans="1:19" x14ac:dyDescent="0.3">
      <c r="A74" s="231">
        <v>42736</v>
      </c>
      <c r="B74" s="232" t="s">
        <v>99</v>
      </c>
      <c r="C74" s="246"/>
      <c r="G74" s="235">
        <f>GasPrice!E52</f>
        <v>6.3317505879817562</v>
      </c>
      <c r="O74" s="238">
        <f>G74*$M$14</f>
        <v>59.162129245903216</v>
      </c>
      <c r="S74" s="238">
        <f>G74*$R$14</f>
        <v>43.185719713987034</v>
      </c>
    </row>
    <row r="75" spans="1:19" x14ac:dyDescent="0.3">
      <c r="A75" s="231">
        <v>42767</v>
      </c>
      <c r="B75" s="232" t="s">
        <v>99</v>
      </c>
      <c r="C75" s="246"/>
      <c r="G75" s="235">
        <f>GasPrice!E53</f>
        <v>6.291378375239213</v>
      </c>
      <c r="O75" s="238">
        <f>G75*$M$15</f>
        <v>55.974334525976872</v>
      </c>
      <c r="S75" s="238">
        <f>G75*$R$15</f>
        <v>36.019825189854977</v>
      </c>
    </row>
    <row r="76" spans="1:19" x14ac:dyDescent="0.3">
      <c r="A76" s="231">
        <v>42795</v>
      </c>
      <c r="B76" s="232" t="s">
        <v>99</v>
      </c>
      <c r="C76" s="246"/>
      <c r="G76" s="235">
        <f>GasPrice!E54</f>
        <v>6.2230561690595341</v>
      </c>
      <c r="O76" s="238">
        <f>G76*$M$16</f>
        <v>50.990144407197569</v>
      </c>
      <c r="S76" s="238">
        <f>G76*$R$16</f>
        <v>31.615483420052616</v>
      </c>
    </row>
    <row r="77" spans="1:19" x14ac:dyDescent="0.3">
      <c r="A77" s="231">
        <v>42826</v>
      </c>
      <c r="B77" s="232" t="s">
        <v>99</v>
      </c>
      <c r="C77" s="246"/>
      <c r="G77" s="235">
        <f>GasPrice!E55</f>
        <v>5.9715062281252447</v>
      </c>
      <c r="O77" s="238">
        <f>G77*$M$17</f>
        <v>49.412297172996837</v>
      </c>
      <c r="S77" s="238">
        <f>G77*$R$17</f>
        <v>28.199248119575099</v>
      </c>
    </row>
    <row r="78" spans="1:19" x14ac:dyDescent="0.3">
      <c r="A78" s="231">
        <v>42856</v>
      </c>
      <c r="B78" s="232" t="s">
        <v>99</v>
      </c>
      <c r="C78" s="246"/>
      <c r="G78" s="235">
        <f>GasPrice!E56</f>
        <v>5.9187117960773072</v>
      </c>
      <c r="O78" s="238">
        <f>G78*$M$18</f>
        <v>40.626207715921161</v>
      </c>
      <c r="S78" s="238">
        <f>G78*$R$18</f>
        <v>19.202512212577457</v>
      </c>
    </row>
    <row r="79" spans="1:19" x14ac:dyDescent="0.3">
      <c r="A79" s="231">
        <v>42887</v>
      </c>
      <c r="B79" s="232" t="s">
        <v>99</v>
      </c>
      <c r="C79" s="246"/>
      <c r="G79" s="235">
        <f>GasPrice!E57</f>
        <v>5.9093951315982594</v>
      </c>
      <c r="O79" s="238">
        <f>G79*$M$19</f>
        <v>35.116747897223284</v>
      </c>
      <c r="S79" s="238">
        <f>G79*$R$19</f>
        <v>25.911121906519536</v>
      </c>
    </row>
    <row r="80" spans="1:19" x14ac:dyDescent="0.3">
      <c r="A80" s="231">
        <v>42917</v>
      </c>
      <c r="B80" s="232" t="s">
        <v>99</v>
      </c>
      <c r="C80" s="246"/>
      <c r="G80" s="235">
        <f>GasPrice!E58</f>
        <v>5.9280284605563569</v>
      </c>
      <c r="O80" s="238">
        <f>G80*$M$20</f>
        <v>55.403309915003668</v>
      </c>
      <c r="S80" s="238">
        <f>G80*$R$20</f>
        <v>33.395855647990786</v>
      </c>
    </row>
    <row r="81" spans="1:19" x14ac:dyDescent="0.3">
      <c r="A81" s="231">
        <v>42948</v>
      </c>
      <c r="B81" s="232" t="s">
        <v>99</v>
      </c>
      <c r="C81" s="246"/>
      <c r="G81" s="235">
        <f>GasPrice!E59</f>
        <v>5.9435562346881019</v>
      </c>
      <c r="O81" s="238">
        <f>G81*$M$21</f>
        <v>64.826911092844284</v>
      </c>
      <c r="S81" s="238">
        <f>G81*$R$21</f>
        <v>34.84930133471461</v>
      </c>
    </row>
    <row r="82" spans="1:19" x14ac:dyDescent="0.3">
      <c r="A82" s="231">
        <v>42979</v>
      </c>
      <c r="B82" s="232" t="s">
        <v>99</v>
      </c>
      <c r="C82" s="246"/>
      <c r="G82" s="235">
        <f>GasPrice!E60</f>
        <v>5.9994562215623874</v>
      </c>
      <c r="O82" s="238">
        <f>G82*$M$22</f>
        <v>49.911610915078413</v>
      </c>
      <c r="S82" s="238">
        <f>G82*$R$22</f>
        <v>30.759986549666003</v>
      </c>
    </row>
    <row r="83" spans="1:19" x14ac:dyDescent="0.3">
      <c r="A83" s="231">
        <v>43009</v>
      </c>
      <c r="B83" s="232" t="s">
        <v>99</v>
      </c>
      <c r="C83" s="246"/>
      <c r="G83" s="235">
        <f>GasPrice!E61</f>
        <v>5.8898110303875857</v>
      </c>
      <c r="O83" s="238">
        <f>G83*$M$23</f>
        <v>53.391433696524615</v>
      </c>
      <c r="S83" s="238">
        <f>G83*$R$23</f>
        <v>31.639245699145622</v>
      </c>
    </row>
    <row r="84" spans="1:19" x14ac:dyDescent="0.3">
      <c r="A84" s="231">
        <v>43040</v>
      </c>
      <c r="B84" s="232" t="s">
        <v>99</v>
      </c>
      <c r="C84" s="246"/>
      <c r="G84" s="235">
        <f>GasPrice!E62</f>
        <v>6.173187042666294</v>
      </c>
      <c r="O84" s="238">
        <f>G84*$M$24</f>
        <v>50.296455720484303</v>
      </c>
      <c r="S84" s="238">
        <f>G84*$R$24</f>
        <v>29.921646052923961</v>
      </c>
    </row>
    <row r="85" spans="1:19" x14ac:dyDescent="0.3">
      <c r="A85" s="231">
        <v>43070</v>
      </c>
      <c r="B85" s="232" t="s">
        <v>99</v>
      </c>
      <c r="C85" s="246"/>
      <c r="G85" s="235">
        <f>GasPrice!E63</f>
        <v>6.3946543315417719</v>
      </c>
      <c r="O85" s="238">
        <f>G85*$M$25</f>
        <v>45.104970829799726</v>
      </c>
      <c r="S85" s="238">
        <f>G85*$R$25</f>
        <v>33.699169613834577</v>
      </c>
    </row>
    <row r="86" spans="1:19" x14ac:dyDescent="0.3">
      <c r="A86" s="231">
        <v>43101</v>
      </c>
      <c r="B86" s="232" t="s">
        <v>99</v>
      </c>
      <c r="C86" s="246"/>
      <c r="G86" s="235">
        <f>GasPrice!E64</f>
        <v>6.9128707384203887</v>
      </c>
      <c r="O86" s="238">
        <f>G86*$M$14</f>
        <v>64.591955479568526</v>
      </c>
      <c r="S86" s="238">
        <f>G86*$R$14</f>
        <v>47.149251061009366</v>
      </c>
    </row>
    <row r="87" spans="1:19" x14ac:dyDescent="0.3">
      <c r="A87" s="231">
        <v>43132</v>
      </c>
      <c r="B87" s="232" t="s">
        <v>99</v>
      </c>
      <c r="C87" s="246"/>
      <c r="G87" s="235">
        <f>GasPrice!E65</f>
        <v>6.868793214482074</v>
      </c>
      <c r="O87" s="238">
        <f>G87*$M$15</f>
        <v>61.111588946923085</v>
      </c>
      <c r="S87" s="238">
        <f>G87*$R$15</f>
        <v>39.325679699164354</v>
      </c>
    </row>
    <row r="88" spans="1:19" x14ac:dyDescent="0.3">
      <c r="A88" s="231">
        <v>43160</v>
      </c>
      <c r="B88" s="232" t="s">
        <v>99</v>
      </c>
      <c r="C88" s="246"/>
      <c r="G88" s="235">
        <f>GasPrice!E66</f>
        <v>6.7942004816633954</v>
      </c>
      <c r="O88" s="238">
        <f>G88*$M$16</f>
        <v>55.669956092301106</v>
      </c>
      <c r="S88" s="238">
        <f>G88*$R$16</f>
        <v>34.517112949826505</v>
      </c>
    </row>
    <row r="89" spans="1:19" x14ac:dyDescent="0.3">
      <c r="A89" s="231">
        <v>43191</v>
      </c>
      <c r="B89" s="232" t="s">
        <v>99</v>
      </c>
      <c r="C89" s="246"/>
      <c r="G89" s="235">
        <f>GasPrice!E67</f>
        <v>6.5195636017400647</v>
      </c>
      <c r="O89" s="238">
        <f>G89*$M$17</f>
        <v>53.94729601221092</v>
      </c>
      <c r="S89" s="238">
        <f>G89*$R$17</f>
        <v>30.787339845836101</v>
      </c>
    </row>
    <row r="90" spans="1:19" x14ac:dyDescent="0.3">
      <c r="A90" s="231">
        <v>43221</v>
      </c>
      <c r="B90" s="232" t="s">
        <v>99</v>
      </c>
      <c r="C90" s="246"/>
      <c r="G90" s="235">
        <f>GasPrice!E68</f>
        <v>6.46192376274381</v>
      </c>
      <c r="O90" s="238">
        <f>G90*$M$18</f>
        <v>44.354830252702499</v>
      </c>
      <c r="S90" s="238">
        <f>G90*$R$18</f>
        <v>20.964894768667623</v>
      </c>
    </row>
    <row r="91" spans="1:19" x14ac:dyDescent="0.3">
      <c r="A91" s="231">
        <v>43252</v>
      </c>
      <c r="B91" s="232" t="s">
        <v>99</v>
      </c>
      <c r="C91" s="246"/>
      <c r="G91" s="235">
        <f>GasPrice!E69</f>
        <v>6.4517520264503538</v>
      </c>
      <c r="O91" s="238">
        <f>G91*$M$19</f>
        <v>38.339719102008956</v>
      </c>
      <c r="S91" s="238">
        <f>G91*$R$19</f>
        <v>28.289212270491056</v>
      </c>
    </row>
    <row r="92" spans="1:19" x14ac:dyDescent="0.3">
      <c r="A92" s="231">
        <v>43282</v>
      </c>
      <c r="B92" s="232" t="s">
        <v>99</v>
      </c>
      <c r="C92" s="246"/>
      <c r="G92" s="235">
        <f>GasPrice!E70</f>
        <v>6.4720954990372688</v>
      </c>
      <c r="O92" s="238">
        <f>G92*$M$20</f>
        <v>60.488156411281658</v>
      </c>
      <c r="S92" s="238">
        <f>G92*$R$20</f>
        <v>36.460885514300358</v>
      </c>
    </row>
    <row r="93" spans="1:19" x14ac:dyDescent="0.3">
      <c r="A93" s="231">
        <v>43313</v>
      </c>
      <c r="B93" s="232" t="s">
        <v>99</v>
      </c>
      <c r="C93" s="246"/>
      <c r="G93" s="235">
        <f>GasPrice!E71</f>
        <v>6.4890483928596954</v>
      </c>
      <c r="O93" s="238">
        <f>G93*$M$21</f>
        <v>70.776643920010727</v>
      </c>
      <c r="S93" s="238">
        <f>G93*$R$21</f>
        <v>38.047726628463558</v>
      </c>
    </row>
    <row r="94" spans="1:19" x14ac:dyDescent="0.3">
      <c r="A94" s="231">
        <v>43344</v>
      </c>
      <c r="B94" s="232" t="s">
        <v>99</v>
      </c>
      <c r="C94" s="246"/>
      <c r="G94" s="235">
        <f>GasPrice!E72</f>
        <v>6.5500788106204348</v>
      </c>
      <c r="O94" s="238">
        <f>G94*$M$22</f>
        <v>54.492436145095901</v>
      </c>
      <c r="S94" s="238">
        <f>G94*$R$22</f>
        <v>33.583099646565479</v>
      </c>
    </row>
    <row r="95" spans="1:19" x14ac:dyDescent="0.3">
      <c r="A95" s="231">
        <v>43374</v>
      </c>
      <c r="B95" s="232" t="s">
        <v>99</v>
      </c>
      <c r="C95" s="246"/>
      <c r="G95" s="235">
        <f>GasPrice!E73</f>
        <v>6.4303705209225619</v>
      </c>
      <c r="O95" s="238">
        <f>G95*$M$23</f>
        <v>58.291632709535406</v>
      </c>
      <c r="S95" s="238">
        <f>G95*$R$23</f>
        <v>34.54305610117742</v>
      </c>
    </row>
    <row r="96" spans="1:19" x14ac:dyDescent="0.3">
      <c r="A96" s="231">
        <v>43405</v>
      </c>
      <c r="B96" s="232" t="s">
        <v>99</v>
      </c>
      <c r="C96" s="246"/>
      <c r="G96" s="235">
        <f>GasPrice!E74</f>
        <v>6.7397544292164211</v>
      </c>
      <c r="O96" s="238">
        <f>G96*$M$24</f>
        <v>54.912601525452658</v>
      </c>
      <c r="S96" s="238">
        <f>G96*$R$24</f>
        <v>32.667817307466244</v>
      </c>
    </row>
    <row r="97" spans="1:19" x14ac:dyDescent="0.3">
      <c r="A97" s="231">
        <v>43435</v>
      </c>
      <c r="B97" s="232" t="s">
        <v>99</v>
      </c>
      <c r="C97" s="246"/>
      <c r="G97" s="235">
        <f>GasPrice!E75</f>
        <v>6.9815477088965334</v>
      </c>
      <c r="O97" s="238">
        <f>G97*$M$25</f>
        <v>49.244648644004066</v>
      </c>
      <c r="S97" s="238">
        <f>G97*$R$25</f>
        <v>36.792037256602974</v>
      </c>
    </row>
    <row r="98" spans="1:19" x14ac:dyDescent="0.3">
      <c r="A98" s="231">
        <v>43466</v>
      </c>
      <c r="B98" s="232" t="s">
        <v>99</v>
      </c>
      <c r="C98" s="246"/>
      <c r="G98" s="235">
        <f>GasPrice!E76</f>
        <v>7.547325369513838</v>
      </c>
      <c r="O98" s="238">
        <f>G98*$M$14</f>
        <v>70.520124374385503</v>
      </c>
      <c r="S98" s="238">
        <f>G98*$R$14</f>
        <v>51.47655035824468</v>
      </c>
    </row>
    <row r="99" spans="1:19" x14ac:dyDescent="0.3">
      <c r="A99" s="231">
        <v>43497</v>
      </c>
      <c r="B99" s="232" t="s">
        <v>99</v>
      </c>
      <c r="C99" s="246"/>
      <c r="G99" s="235">
        <f>GasPrice!E77</f>
        <v>7.4992024655520879</v>
      </c>
      <c r="O99" s="238">
        <f>G99*$M$15</f>
        <v>66.720334153941707</v>
      </c>
      <c r="S99" s="238">
        <f>G99*$R$15</f>
        <v>42.934941401016125</v>
      </c>
    </row>
    <row r="100" spans="1:19" x14ac:dyDescent="0.3">
      <c r="A100" s="231">
        <v>43525</v>
      </c>
      <c r="B100" s="232" t="s">
        <v>99</v>
      </c>
      <c r="C100" s="246"/>
      <c r="G100" s="235">
        <f>GasPrice!E78</f>
        <v>7.4177637050014429</v>
      </c>
      <c r="O100" s="238">
        <f>G100*$M$16</f>
        <v>60.779275041262125</v>
      </c>
      <c r="S100" s="238">
        <f>G100*$R$16</f>
        <v>37.685050409047278</v>
      </c>
    </row>
    <row r="101" spans="1:19" x14ac:dyDescent="0.3">
      <c r="A101" s="231">
        <v>43556</v>
      </c>
      <c r="B101" s="232" t="s">
        <v>99</v>
      </c>
      <c r="C101" s="246"/>
      <c r="G101" s="235">
        <f>GasPrice!E79</f>
        <v>7.1179209957013239</v>
      </c>
      <c r="O101" s="238">
        <f>G101*$M$17</f>
        <v>58.898511373390569</v>
      </c>
      <c r="S101" s="238">
        <f>G101*$R$17</f>
        <v>33.612963394049871</v>
      </c>
    </row>
    <row r="102" spans="1:19" x14ac:dyDescent="0.3">
      <c r="A102" s="231">
        <v>43586</v>
      </c>
      <c r="B102" s="232" t="s">
        <v>99</v>
      </c>
      <c r="C102" s="246"/>
      <c r="G102" s="235">
        <f>GasPrice!E80</f>
        <v>7.054991044366731</v>
      </c>
      <c r="O102" s="238">
        <f>G102*$M$18</f>
        <v>48.425661102871302</v>
      </c>
      <c r="S102" s="238">
        <f>G102*$R$18</f>
        <v>22.889026591709257</v>
      </c>
    </row>
    <row r="103" spans="1:19" x14ac:dyDescent="0.3">
      <c r="A103" s="231">
        <v>43617</v>
      </c>
      <c r="B103" s="232" t="s">
        <v>99</v>
      </c>
      <c r="C103" s="246"/>
      <c r="G103" s="235">
        <f>GasPrice!E81</f>
        <v>7.0438857588370976</v>
      </c>
      <c r="O103" s="238">
        <f>G103*$M$19</f>
        <v>41.858490573302205</v>
      </c>
      <c r="S103" s="238">
        <f>G103*$R$19</f>
        <v>30.885560794013411</v>
      </c>
    </row>
    <row r="104" spans="1:19" x14ac:dyDescent="0.3">
      <c r="A104" s="231">
        <v>43647</v>
      </c>
      <c r="B104" s="232" t="s">
        <v>99</v>
      </c>
      <c r="C104" s="246"/>
      <c r="G104" s="235">
        <f>GasPrice!E82</f>
        <v>7.0660963298963679</v>
      </c>
      <c r="O104" s="238">
        <f>G104*$M$20</f>
        <v>66.039683759847676</v>
      </c>
      <c r="S104" s="238">
        <f>G104*$R$20</f>
        <v>39.807219988594582</v>
      </c>
    </row>
    <row r="105" spans="1:19" x14ac:dyDescent="0.3">
      <c r="A105" s="231">
        <v>43678</v>
      </c>
      <c r="B105" s="232" t="s">
        <v>99</v>
      </c>
      <c r="C105" s="246"/>
      <c r="G105" s="235">
        <f>GasPrice!E83</f>
        <v>7.0846051391124227</v>
      </c>
      <c r="O105" s="238">
        <f>G105*$M$21</f>
        <v>77.272435785281985</v>
      </c>
      <c r="S105" s="238">
        <f>G105*$R$21</f>
        <v>41.539699395702399</v>
      </c>
    </row>
    <row r="106" spans="1:19" x14ac:dyDescent="0.3">
      <c r="A106" s="231">
        <v>43709</v>
      </c>
      <c r="B106" s="232" t="s">
        <v>99</v>
      </c>
      <c r="C106" s="246"/>
      <c r="G106" s="235">
        <f>GasPrice!E84</f>
        <v>7.1512368522902259</v>
      </c>
      <c r="O106" s="238">
        <f>G106*$M$22</f>
        <v>59.493683785916126</v>
      </c>
      <c r="S106" s="238">
        <f>G106*$R$22</f>
        <v>36.665314532895742</v>
      </c>
    </row>
    <row r="107" spans="1:19" x14ac:dyDescent="0.3">
      <c r="A107" s="231">
        <v>43739</v>
      </c>
      <c r="B107" s="232" t="s">
        <v>99</v>
      </c>
      <c r="C107" s="246"/>
      <c r="G107" s="235">
        <f>GasPrice!E85</f>
        <v>7.0205418854718076</v>
      </c>
      <c r="O107" s="238">
        <f>G107*$M$23</f>
        <v>63.641565859741242</v>
      </c>
      <c r="S107" s="238">
        <f>G107*$R$23</f>
        <v>37.713374590384511</v>
      </c>
    </row>
    <row r="108" spans="1:19" x14ac:dyDescent="0.3">
      <c r="A108" s="231">
        <v>43770</v>
      </c>
      <c r="B108" s="232" t="s">
        <v>99</v>
      </c>
      <c r="C108" s="246"/>
      <c r="G108" s="235">
        <f>GasPrice!E86</f>
        <v>7.3583206619514536</v>
      </c>
      <c r="O108" s="238">
        <f>G108*$M$24</f>
        <v>59.952411419420606</v>
      </c>
      <c r="S108" s="238">
        <f>G108*$R$24</f>
        <v>35.666028725371717</v>
      </c>
    </row>
    <row r="109" spans="1:19" x14ac:dyDescent="0.3">
      <c r="A109" s="231">
        <v>43800</v>
      </c>
      <c r="B109" s="232" t="s">
        <v>99</v>
      </c>
      <c r="C109" s="246"/>
      <c r="G109" s="235">
        <f>GasPrice!E87</f>
        <v>7.6223054264524404</v>
      </c>
      <c r="O109" s="238">
        <f>G109*$M$25</f>
        <v>53.76426091088949</v>
      </c>
      <c r="S109" s="238">
        <f>G109*$R$25</f>
        <v>40.168764423665323</v>
      </c>
    </row>
    <row r="110" spans="1:19" x14ac:dyDescent="0.3">
      <c r="A110" s="231">
        <v>43831</v>
      </c>
      <c r="B110" s="232" t="s">
        <v>99</v>
      </c>
      <c r="C110" s="246"/>
      <c r="G110" s="235">
        <f>GasPrice!E88</f>
        <v>8.2400094531961656</v>
      </c>
      <c r="O110" s="238">
        <f>G110*$M$14</f>
        <v>76.992373196564145</v>
      </c>
      <c r="S110" s="238">
        <f>G110*$R$14</f>
        <v>56.20100377323304</v>
      </c>
    </row>
    <row r="111" spans="1:19" x14ac:dyDescent="0.3">
      <c r="A111" s="231">
        <v>43862</v>
      </c>
      <c r="B111" s="232" t="s">
        <v>99</v>
      </c>
      <c r="C111" s="246"/>
      <c r="G111" s="235">
        <f>GasPrice!E89</f>
        <v>8.1874698892916076</v>
      </c>
      <c r="O111" s="238">
        <f>G111*$M$15</f>
        <v>72.843842981729111</v>
      </c>
      <c r="S111" s="238">
        <f>G111*$R$15</f>
        <v>46.875456628098888</v>
      </c>
    </row>
    <row r="112" spans="1:19" x14ac:dyDescent="0.3">
      <c r="A112" s="231">
        <v>43891</v>
      </c>
      <c r="B112" s="232" t="s">
        <v>99</v>
      </c>
      <c r="C112" s="246"/>
      <c r="G112" s="235">
        <f>GasPrice!E90</f>
        <v>8.0985567811454402</v>
      </c>
      <c r="O112" s="238">
        <f>G112*$M$16</f>
        <v>66.357520893612971</v>
      </c>
      <c r="S112" s="238">
        <f>G112*$R$16</f>
        <v>41.143737206433187</v>
      </c>
    </row>
    <row r="113" spans="1:19" x14ac:dyDescent="0.3">
      <c r="A113" s="231">
        <v>43922</v>
      </c>
      <c r="B113" s="232" t="s">
        <v>99</v>
      </c>
      <c r="C113" s="246"/>
      <c r="G113" s="235">
        <f>GasPrice!E91</f>
        <v>7.7711948829708977</v>
      </c>
      <c r="O113" s="238">
        <f>G113*$M$17</f>
        <v>64.304143088398803</v>
      </c>
      <c r="S113" s="238">
        <f>G113*$R$17</f>
        <v>36.697919137776459</v>
      </c>
    </row>
    <row r="114" spans="1:19" x14ac:dyDescent="0.3">
      <c r="A114" s="231">
        <v>43952</v>
      </c>
      <c r="B114" s="232" t="s">
        <v>99</v>
      </c>
      <c r="C114" s="246"/>
      <c r="G114" s="235">
        <f>GasPrice!E92</f>
        <v>7.7024892994034015</v>
      </c>
      <c r="O114" s="238">
        <f>G114*$M$18</f>
        <v>52.87010771746241</v>
      </c>
      <c r="S114" s="238">
        <f>G114*$R$18</f>
        <v>24.989752827138521</v>
      </c>
    </row>
    <row r="115" spans="1:19" x14ac:dyDescent="0.3">
      <c r="A115" s="231">
        <v>43983</v>
      </c>
      <c r="B115" s="232" t="s">
        <v>99</v>
      </c>
      <c r="C115" s="246"/>
      <c r="G115" s="235">
        <f>GasPrice!E93</f>
        <v>7.6903647846561967</v>
      </c>
      <c r="O115" s="238">
        <f>G115*$M$19</f>
        <v>45.700210489633427</v>
      </c>
      <c r="S115" s="238">
        <f>G115*$R$19</f>
        <v>33.720198938015159</v>
      </c>
    </row>
    <row r="116" spans="1:19" x14ac:dyDescent="0.3">
      <c r="A116" s="231">
        <v>44013</v>
      </c>
      <c r="B116" s="232" t="s">
        <v>99</v>
      </c>
      <c r="C116" s="246"/>
      <c r="G116" s="235">
        <f>GasPrice!E94</f>
        <v>7.7146138141506091</v>
      </c>
      <c r="O116" s="238">
        <f>G116*$M$20</f>
        <v>72.10072334569071</v>
      </c>
      <c r="S116" s="238">
        <f>G116*$R$20</f>
        <v>43.460676855992979</v>
      </c>
    </row>
    <row r="117" spans="1:19" x14ac:dyDescent="0.3">
      <c r="A117" s="231">
        <v>44044</v>
      </c>
      <c r="B117" s="232" t="s">
        <v>99</v>
      </c>
      <c r="C117" s="246"/>
      <c r="G117" s="235">
        <f>GasPrice!E95</f>
        <v>7.734821338729283</v>
      </c>
      <c r="O117" s="238">
        <f>G117*$M$21</f>
        <v>84.364403304270425</v>
      </c>
      <c r="S117" s="238">
        <f>G117*$R$21</f>
        <v>45.352161056435726</v>
      </c>
    </row>
    <row r="118" spans="1:19" x14ac:dyDescent="0.3">
      <c r="A118" s="231">
        <v>44075</v>
      </c>
      <c r="B118" s="232" t="s">
        <v>99</v>
      </c>
      <c r="C118" s="246"/>
      <c r="G118" s="235">
        <f>GasPrice!E96</f>
        <v>7.8075684272125132</v>
      </c>
      <c r="O118" s="238">
        <f>G118*$M$22</f>
        <v>64.953939680619669</v>
      </c>
      <c r="S118" s="238">
        <f>G118*$R$22</f>
        <v>40.030411246856445</v>
      </c>
    </row>
    <row r="119" spans="1:19" x14ac:dyDescent="0.3">
      <c r="A119" s="231">
        <v>44105</v>
      </c>
      <c r="B119" s="232" t="s">
        <v>99</v>
      </c>
      <c r="C119" s="246"/>
      <c r="G119" s="235">
        <f>GasPrice!E97</f>
        <v>7.6648784397874321</v>
      </c>
      <c r="O119" s="238">
        <f>G119*$M$23</f>
        <v>69.482509183813548</v>
      </c>
      <c r="S119" s="238">
        <f>G119*$R$23</f>
        <v>41.174660945711153</v>
      </c>
    </row>
    <row r="120" spans="1:19" x14ac:dyDescent="0.3">
      <c r="A120" s="231">
        <v>44136</v>
      </c>
      <c r="B120" s="232" t="s">
        <v>99</v>
      </c>
      <c r="C120" s="246"/>
      <c r="G120" s="235">
        <f>GasPrice!E98</f>
        <v>8.0336581299441594</v>
      </c>
      <c r="O120" s="238">
        <f>G120*$M$24</f>
        <v>65.454768762639588</v>
      </c>
      <c r="S120" s="238">
        <f>G120*$R$24</f>
        <v>38.939412237630862</v>
      </c>
    </row>
    <row r="121" spans="1:19" x14ac:dyDescent="0.3">
      <c r="A121" s="231">
        <v>44166</v>
      </c>
      <c r="B121" s="232" t="s">
        <v>99</v>
      </c>
      <c r="C121" s="246"/>
      <c r="G121" s="235">
        <f>GasPrice!E99</f>
        <v>8.3218710859900717</v>
      </c>
      <c r="O121" s="238">
        <f>G121*$M$25</f>
        <v>58.698677539374664</v>
      </c>
      <c r="S121" s="238">
        <f>G121*$R$25</f>
        <v>43.855403387164813</v>
      </c>
    </row>
    <row r="122" spans="1:19" x14ac:dyDescent="0.3">
      <c r="A122" s="231">
        <v>44197</v>
      </c>
      <c r="B122" s="232" t="s">
        <v>99</v>
      </c>
      <c r="C122" s="246"/>
      <c r="G122" s="235">
        <f>GasPrice!E100</f>
        <v>8.9962672158038721</v>
      </c>
      <c r="O122" s="238">
        <f>G122*$M$14</f>
        <v>84.05863692140808</v>
      </c>
      <c r="S122" s="238">
        <f>G122*$R$14</f>
        <v>61.359061614218462</v>
      </c>
    </row>
    <row r="123" spans="1:19" x14ac:dyDescent="0.3">
      <c r="A123" s="231">
        <v>44228</v>
      </c>
      <c r="B123" s="232" t="s">
        <v>99</v>
      </c>
      <c r="C123" s="246"/>
      <c r="G123" s="235">
        <f>GasPrice!E101</f>
        <v>8.9389056364304551</v>
      </c>
      <c r="O123" s="238">
        <f>G123*$M$15</f>
        <v>79.529359791632956</v>
      </c>
      <c r="S123" s="238">
        <f>G123*$R$15</f>
        <v>51.177627414690662</v>
      </c>
    </row>
    <row r="124" spans="1:19" x14ac:dyDescent="0.3">
      <c r="A124" s="231">
        <v>44256</v>
      </c>
      <c r="B124" s="232" t="s">
        <v>99</v>
      </c>
      <c r="C124" s="246"/>
      <c r="G124" s="235">
        <f>GasPrice!E102</f>
        <v>8.8418321944139144</v>
      </c>
      <c r="O124" s="238">
        <f>G124*$M$16</f>
        <v>72.447731174103907</v>
      </c>
      <c r="S124" s="238">
        <f>G124*$R$16</f>
        <v>44.919857952628142</v>
      </c>
    </row>
    <row r="125" spans="1:19" x14ac:dyDescent="0.3">
      <c r="A125" s="231">
        <v>44287</v>
      </c>
      <c r="B125" s="232" t="s">
        <v>99</v>
      </c>
      <c r="C125" s="246"/>
      <c r="G125" s="235">
        <f>GasPrice!E103</f>
        <v>8.4844254306257216</v>
      </c>
      <c r="O125" s="238">
        <f>G125*$M$17</f>
        <v>70.205896921894137</v>
      </c>
      <c r="S125" s="238">
        <f>G125*$R$17</f>
        <v>40.066008261597595</v>
      </c>
    </row>
    <row r="126" spans="1:19" x14ac:dyDescent="0.3">
      <c r="A126" s="231">
        <v>44317</v>
      </c>
      <c r="B126" s="232" t="s">
        <v>99</v>
      </c>
      <c r="C126" s="246"/>
      <c r="G126" s="235">
        <f>GasPrice!E104</f>
        <v>8.4094141345220272</v>
      </c>
      <c r="O126" s="238">
        <f>G126*$M$18</f>
        <v>57.722460084088354</v>
      </c>
      <c r="S126" s="238">
        <f>G126*$R$18</f>
        <v>27.283281089274301</v>
      </c>
    </row>
    <row r="127" spans="1:19" x14ac:dyDescent="0.3">
      <c r="A127" s="231">
        <v>44348</v>
      </c>
      <c r="B127" s="232" t="s">
        <v>99</v>
      </c>
      <c r="C127" s="246"/>
      <c r="G127" s="235">
        <f>GasPrice!E105</f>
        <v>8.396176846974317</v>
      </c>
      <c r="O127" s="238">
        <f>G127*$M$19</f>
        <v>49.89451865540692</v>
      </c>
      <c r="S127" s="238">
        <f>G127*$R$19</f>
        <v>36.814996625857454</v>
      </c>
    </row>
    <row r="128" spans="1:19" x14ac:dyDescent="0.3">
      <c r="A128" s="231">
        <v>44378</v>
      </c>
      <c r="B128" s="232" t="s">
        <v>99</v>
      </c>
      <c r="C128" s="246"/>
      <c r="G128" s="235">
        <f>GasPrice!E106</f>
        <v>8.422651422069741</v>
      </c>
      <c r="O128" s="238">
        <f>G128*$M$20</f>
        <v>78.718037564748954</v>
      </c>
      <c r="S128" s="238">
        <f>G128*$R$20</f>
        <v>47.449443425645519</v>
      </c>
    </row>
    <row r="129" spans="1:19" x14ac:dyDescent="0.3">
      <c r="A129" s="231">
        <v>44409</v>
      </c>
      <c r="B129" s="232" t="s">
        <v>99</v>
      </c>
      <c r="C129" s="246"/>
      <c r="G129" s="235">
        <f>GasPrice!E107</f>
        <v>8.4447135679825909</v>
      </c>
      <c r="O129" s="238">
        <f>G129*$M$21</f>
        <v>92.107262732893332</v>
      </c>
      <c r="S129" s="238">
        <f>G129*$R$21</f>
        <v>49.514525680503098</v>
      </c>
    </row>
    <row r="130" spans="1:19" x14ac:dyDescent="0.3">
      <c r="A130" s="231">
        <v>44440</v>
      </c>
      <c r="B130" s="232" t="s">
        <v>99</v>
      </c>
      <c r="C130" s="246"/>
      <c r="G130" s="235">
        <f>GasPrice!E108</f>
        <v>8.5241372932688542</v>
      </c>
      <c r="O130" s="238">
        <f>G130*$M$22</f>
        <v>70.915331032709403</v>
      </c>
      <c r="S130" s="238">
        <f>G130*$R$22</f>
        <v>43.704352328813762</v>
      </c>
    </row>
    <row r="131" spans="1:19" x14ac:dyDescent="0.3">
      <c r="A131" s="231">
        <v>44470</v>
      </c>
      <c r="B131" s="232" t="s">
        <v>99</v>
      </c>
      <c r="C131" s="246"/>
      <c r="G131" s="235">
        <f>GasPrice!E109</f>
        <v>8.3683513972468759</v>
      </c>
      <c r="O131" s="238">
        <f>G131*$M$23</f>
        <v>75.859526981449463</v>
      </c>
      <c r="S131" s="238">
        <f>G131*$R$23</f>
        <v>44.95361983402362</v>
      </c>
    </row>
    <row r="132" spans="1:19" x14ac:dyDescent="0.3">
      <c r="A132" s="231">
        <v>44501</v>
      </c>
      <c r="B132" s="232" t="s">
        <v>99</v>
      </c>
      <c r="C132" s="246"/>
      <c r="G132" s="235">
        <f>GasPrice!E110</f>
        <v>8.7709772261680339</v>
      </c>
      <c r="O132" s="238">
        <f>G132*$M$24</f>
        <v>71.46212558153718</v>
      </c>
      <c r="S132" s="238">
        <f>G132*$R$24</f>
        <v>42.513222794931536</v>
      </c>
    </row>
    <row r="133" spans="1:19" x14ac:dyDescent="0.3">
      <c r="A133" s="231">
        <v>44531</v>
      </c>
      <c r="B133" s="232" t="s">
        <v>99</v>
      </c>
      <c r="C133" s="246"/>
      <c r="G133" s="235">
        <f>GasPrice!E111</f>
        <v>9.0856420068789401</v>
      </c>
      <c r="O133" s="238">
        <f>G133*$M$25</f>
        <v>64.085968755010356</v>
      </c>
      <c r="S133" s="238">
        <f>G133*$R$25</f>
        <v>47.880397464200868</v>
      </c>
    </row>
    <row r="134" spans="1:19" x14ac:dyDescent="0.3">
      <c r="A134" s="231">
        <v>44562</v>
      </c>
      <c r="B134" s="232" t="s">
        <v>99</v>
      </c>
      <c r="C134" s="246"/>
      <c r="G134" s="235">
        <f>GasPrice!E112</f>
        <v>9.8219333700830926</v>
      </c>
      <c r="O134" s="238">
        <f>G134*$M$14</f>
        <v>91.7734334938052</v>
      </c>
      <c r="S134" s="238">
        <f>G134*$R$14</f>
        <v>66.990519553150577</v>
      </c>
    </row>
    <row r="135" spans="1:19" x14ac:dyDescent="0.3">
      <c r="A135" s="231">
        <v>44593</v>
      </c>
      <c r="B135" s="232" t="s">
        <v>99</v>
      </c>
      <c r="C135" s="246"/>
      <c r="G135" s="235">
        <f>GasPrice!E113</f>
        <v>9.7593072166915285</v>
      </c>
      <c r="O135" s="238">
        <f>G135*$M$15</f>
        <v>86.828464973401225</v>
      </c>
      <c r="S135" s="238">
        <f>G135*$R$15</f>
        <v>55.874646055754518</v>
      </c>
    </row>
    <row r="136" spans="1:19" x14ac:dyDescent="0.3">
      <c r="A136" s="231">
        <v>44621</v>
      </c>
      <c r="B136" s="232" t="s">
        <v>99</v>
      </c>
      <c r="C136" s="246"/>
      <c r="G136" s="235">
        <f>GasPrice!E114</f>
        <v>9.6533244955673556</v>
      </c>
      <c r="O136" s="238">
        <f>G136*$M$16</f>
        <v>79.096893337683795</v>
      </c>
      <c r="S136" s="238">
        <f>G136*$R$16</f>
        <v>49.042546338468988</v>
      </c>
    </row>
    <row r="137" spans="1:19" x14ac:dyDescent="0.3">
      <c r="A137" s="231">
        <v>44652</v>
      </c>
      <c r="B137" s="232" t="s">
        <v>99</v>
      </c>
      <c r="C137" s="246"/>
      <c r="G137" s="235">
        <f>GasPrice!E115</f>
        <v>9.2631153859737836</v>
      </c>
      <c r="O137" s="238">
        <f>G137*$M$17</f>
        <v>76.649306341457944</v>
      </c>
      <c r="S137" s="238">
        <f>G137*$R$17</f>
        <v>43.743216393050005</v>
      </c>
    </row>
    <row r="138" spans="1:19" x14ac:dyDescent="0.3">
      <c r="A138" s="231">
        <v>44682</v>
      </c>
      <c r="B138" s="232" t="s">
        <v>99</v>
      </c>
      <c r="C138" s="246"/>
      <c r="G138" s="235">
        <f>GasPrice!E116</f>
        <v>9.1812196469232816</v>
      </c>
      <c r="O138" s="238">
        <f>G138*$M$18</f>
        <v>63.020155282541431</v>
      </c>
      <c r="S138" s="238">
        <f>G138*$R$18</f>
        <v>29.78730650700831</v>
      </c>
    </row>
    <row r="139" spans="1:19" x14ac:dyDescent="0.3">
      <c r="A139" s="231">
        <v>44713</v>
      </c>
      <c r="B139" s="232" t="s">
        <v>99</v>
      </c>
      <c r="C139" s="246"/>
      <c r="G139" s="235">
        <f>GasPrice!E117</f>
        <v>9.1667674576790752</v>
      </c>
      <c r="O139" s="238">
        <f>G139*$M$19</f>
        <v>54.473775179207436</v>
      </c>
      <c r="S139" s="238">
        <f>G139*$R$19</f>
        <v>40.193830975116825</v>
      </c>
    </row>
    <row r="140" spans="1:19" x14ac:dyDescent="0.3">
      <c r="A140" s="231">
        <v>44743</v>
      </c>
      <c r="B140" s="232" t="s">
        <v>99</v>
      </c>
      <c r="C140" s="246"/>
      <c r="G140" s="235">
        <f>GasPrice!E118</f>
        <v>9.1956718361674916</v>
      </c>
      <c r="O140" s="238">
        <f>G140*$M$20</f>
        <v>85.942680607178389</v>
      </c>
      <c r="S140" s="238">
        <f>G140*$R$20</f>
        <v>51.804294002684706</v>
      </c>
    </row>
    <row r="141" spans="1:19" x14ac:dyDescent="0.3">
      <c r="A141" s="231">
        <v>44774</v>
      </c>
      <c r="B141" s="232" t="s">
        <v>99</v>
      </c>
      <c r="C141" s="246"/>
      <c r="G141" s="235">
        <f>GasPrice!E119</f>
        <v>9.2197588182411661</v>
      </c>
      <c r="O141" s="238">
        <f>G141*$M$21</f>
        <v>100.56075211660747</v>
      </c>
      <c r="S141" s="238">
        <f>G141*$R$21</f>
        <v>54.058906924288493</v>
      </c>
    </row>
    <row r="142" spans="1:19" x14ac:dyDescent="0.3">
      <c r="A142" s="231">
        <v>44805</v>
      </c>
      <c r="B142" s="232" t="s">
        <v>99</v>
      </c>
      <c r="C142" s="246"/>
      <c r="G142" s="235">
        <f>GasPrice!E120</f>
        <v>9.3064719537064029</v>
      </c>
      <c r="O142" s="238">
        <f>G142*$M$22</f>
        <v>77.423851427741155</v>
      </c>
      <c r="S142" s="238">
        <f>G142*$R$22</f>
        <v>47.715483128619745</v>
      </c>
    </row>
    <row r="143" spans="1:19" x14ac:dyDescent="0.3">
      <c r="A143" s="231">
        <v>44835</v>
      </c>
      <c r="B143" s="232" t="s">
        <v>99</v>
      </c>
      <c r="C143" s="246"/>
      <c r="G143" s="235">
        <f>GasPrice!E121</f>
        <v>9.1363882229743307</v>
      </c>
      <c r="O143" s="238">
        <f>G143*$M$23</f>
        <v>82.821819497414637</v>
      </c>
      <c r="S143" s="238">
        <f>G143*$R$23</f>
        <v>49.079406843116125</v>
      </c>
    </row>
    <row r="144" spans="1:19" x14ac:dyDescent="0.3">
      <c r="A144" s="231">
        <v>44866</v>
      </c>
      <c r="B144" s="232" t="s">
        <v>99</v>
      </c>
      <c r="C144" s="246"/>
      <c r="G144" s="235">
        <f>GasPrice!E122</f>
        <v>9.5759665469475284</v>
      </c>
      <c r="O144" s="238">
        <f>G144*$M$24</f>
        <v>78.020830096435716</v>
      </c>
      <c r="S144" s="238">
        <f>G144*$R$24</f>
        <v>46.415033215751755</v>
      </c>
    </row>
    <row r="145" spans="1:19" x14ac:dyDescent="0.3">
      <c r="A145" s="231">
        <v>44896</v>
      </c>
      <c r="B145" s="232" t="s">
        <v>99</v>
      </c>
      <c r="C145" s="246"/>
      <c r="G145" s="235">
        <f>GasPrice!E123</f>
        <v>9.9195108677103647</v>
      </c>
      <c r="O145" s="238">
        <f>G145*$M$25</f>
        <v>69.967698821037459</v>
      </c>
      <c r="S145" s="238">
        <f>G145*$R$25</f>
        <v>52.274800463944878</v>
      </c>
    </row>
    <row r="146" spans="1:19" x14ac:dyDescent="0.3">
      <c r="A146" s="231">
        <v>44927</v>
      </c>
      <c r="B146" s="232" t="s">
        <v>99</v>
      </c>
      <c r="C146" s="246"/>
      <c r="G146" s="235">
        <f>GasPrice!E124</f>
        <v>10.723378131418876</v>
      </c>
      <c r="O146" s="238">
        <f>G146*$M$14</f>
        <v>100.19628444744477</v>
      </c>
      <c r="S146" s="238">
        <f>G146*$R$14</f>
        <v>73.138825658981872</v>
      </c>
    </row>
    <row r="147" spans="1:19" x14ac:dyDescent="0.3">
      <c r="A147" s="231">
        <v>44958</v>
      </c>
      <c r="B147" s="232" t="s">
        <v>99</v>
      </c>
      <c r="C147" s="246"/>
      <c r="G147" s="235">
        <f>GasPrice!E125</f>
        <v>10.655004227989687</v>
      </c>
      <c r="O147" s="238">
        <f>G147*$M$15</f>
        <v>94.797472900446223</v>
      </c>
      <c r="S147" s="238">
        <f>G147*$R$15</f>
        <v>61.002751193574738</v>
      </c>
    </row>
    <row r="148" spans="1:19" x14ac:dyDescent="0.3">
      <c r="A148" s="231">
        <v>44986</v>
      </c>
      <c r="B148" s="232" t="s">
        <v>99</v>
      </c>
      <c r="C148" s="246"/>
      <c r="G148" s="235">
        <f>GasPrice!E126</f>
        <v>10.539294545263383</v>
      </c>
      <c r="O148" s="238">
        <f>G148*$M$16</f>
        <v>86.356307289153833</v>
      </c>
      <c r="S148" s="238">
        <f>G148*$R$16</f>
        <v>53.543609908502788</v>
      </c>
    </row>
    <row r="149" spans="1:19" x14ac:dyDescent="0.3">
      <c r="A149" s="231">
        <v>45017</v>
      </c>
      <c r="B149" s="232" t="s">
        <v>99</v>
      </c>
      <c r="C149" s="246"/>
      <c r="G149" s="235">
        <f>GasPrice!E127</f>
        <v>10.113272531589233</v>
      </c>
      <c r="O149" s="238">
        <f>G149*$M$17</f>
        <v>83.684083819381769</v>
      </c>
      <c r="S149" s="238">
        <f>G149*$R$17</f>
        <v>47.757914088067963</v>
      </c>
    </row>
    <row r="150" spans="1:19" x14ac:dyDescent="0.3">
      <c r="A150" s="231">
        <v>45047</v>
      </c>
      <c r="B150" s="232" t="s">
        <v>99</v>
      </c>
      <c r="C150" s="246"/>
      <c r="G150" s="235">
        <f>GasPrice!E128</f>
        <v>10.023860504027992</v>
      </c>
      <c r="O150" s="238">
        <f>G150*$M$18</f>
        <v>68.804066320978265</v>
      </c>
      <c r="S150" s="238">
        <f>G150*$R$18</f>
        <v>32.521148246032325</v>
      </c>
    </row>
    <row r="151" spans="1:19" x14ac:dyDescent="0.3">
      <c r="A151" s="231">
        <v>45078</v>
      </c>
      <c r="B151" s="232" t="s">
        <v>99</v>
      </c>
      <c r="C151" s="246"/>
      <c r="G151" s="235">
        <f>GasPrice!E129</f>
        <v>10.008081910928949</v>
      </c>
      <c r="O151" s="238">
        <f>G151*$M$19</f>
        <v>59.473310139915924</v>
      </c>
      <c r="S151" s="238">
        <f>G151*$R$19</f>
        <v>43.882770515360164</v>
      </c>
    </row>
    <row r="152" spans="1:19" x14ac:dyDescent="0.3">
      <c r="A152" s="231">
        <v>45108</v>
      </c>
      <c r="B152" s="232" t="s">
        <v>99</v>
      </c>
      <c r="C152" s="246"/>
      <c r="G152" s="235">
        <f>GasPrice!E130</f>
        <v>10.039639097127038</v>
      </c>
      <c r="O152" s="238">
        <f>G152*$M$20</f>
        <v>93.830392352858865</v>
      </c>
      <c r="S152" s="238">
        <f>G152*$R$20</f>
        <v>56.558827319481559</v>
      </c>
    </row>
    <row r="153" spans="1:19" x14ac:dyDescent="0.3">
      <c r="A153" s="231">
        <v>45139</v>
      </c>
      <c r="B153" s="232" t="s">
        <v>99</v>
      </c>
      <c r="C153" s="246"/>
      <c r="G153" s="235">
        <f>GasPrice!E131</f>
        <v>10.065936752292107</v>
      </c>
      <c r="O153" s="238">
        <f>G153*$M$21</f>
        <v>109.79009218397299</v>
      </c>
      <c r="S153" s="238">
        <f>G153*$R$21</f>
        <v>59.020365795397332</v>
      </c>
    </row>
    <row r="154" spans="1:19" x14ac:dyDescent="0.3">
      <c r="A154" s="231">
        <v>45170</v>
      </c>
      <c r="B154" s="232" t="s">
        <v>99</v>
      </c>
      <c r="C154" s="246"/>
      <c r="G154" s="235">
        <f>GasPrice!E132</f>
        <v>10.16060831088636</v>
      </c>
      <c r="O154" s="238">
        <f>G154*$M$22</f>
        <v>84.529715685033196</v>
      </c>
      <c r="S154" s="238">
        <f>G154*$R$22</f>
        <v>52.094750496887009</v>
      </c>
    </row>
    <row r="155" spans="1:19" x14ac:dyDescent="0.3">
      <c r="A155" s="231">
        <v>45200</v>
      </c>
      <c r="B155" s="232" t="s">
        <v>99</v>
      </c>
      <c r="C155" s="246"/>
      <c r="G155" s="235">
        <f>GasPrice!E133</f>
        <v>9.9749145080554609</v>
      </c>
      <c r="O155" s="238">
        <f>G155*$M$23</f>
        <v>90.423102513409148</v>
      </c>
      <c r="S155" s="238">
        <f>G155*$R$23</f>
        <v>53.58385342416846</v>
      </c>
    </row>
    <row r="156" spans="1:19" x14ac:dyDescent="0.3">
      <c r="A156" s="231">
        <v>45231</v>
      </c>
      <c r="B156" s="232" t="s">
        <v>99</v>
      </c>
      <c r="C156" s="246"/>
      <c r="G156" s="235">
        <f>GasPrice!E134</f>
        <v>10.454836780863555</v>
      </c>
      <c r="O156" s="238">
        <f>G156*$M$24</f>
        <v>85.181484309355326</v>
      </c>
      <c r="S156" s="238">
        <f>G156*$R$24</f>
        <v>50.674946917366682</v>
      </c>
    </row>
    <row r="157" spans="1:19" x14ac:dyDescent="0.3">
      <c r="A157" s="231">
        <v>45261</v>
      </c>
      <c r="B157" s="232" t="s">
        <v>99</v>
      </c>
      <c r="C157" s="246"/>
      <c r="G157" s="235">
        <f>GasPrice!E135</f>
        <v>10.82991116974736</v>
      </c>
      <c r="O157" s="238">
        <f>G157*$M$25</f>
        <v>76.389246716796663</v>
      </c>
      <c r="S157" s="238">
        <f>G157*$R$25</f>
        <v>57.072516275337918</v>
      </c>
    </row>
    <row r="158" spans="1:19" x14ac:dyDescent="0.3">
      <c r="A158" s="231">
        <v>45292</v>
      </c>
      <c r="B158" s="232" t="s">
        <v>99</v>
      </c>
      <c r="G158" s="235">
        <f>GasPrice!E136</f>
        <v>11.707556365597679</v>
      </c>
      <c r="O158" s="238">
        <f>G158*$M$14</f>
        <v>109.39217412794001</v>
      </c>
      <c r="S158" s="238">
        <f>G158*$R$14</f>
        <v>79.851415610096808</v>
      </c>
    </row>
    <row r="159" spans="1:19" x14ac:dyDescent="0.3">
      <c r="A159" s="231">
        <v>45323</v>
      </c>
      <c r="B159" s="232" t="s">
        <v>99</v>
      </c>
      <c r="G159" s="235">
        <f>GasPrice!E137</f>
        <v>11.632907190820584</v>
      </c>
      <c r="O159" s="238">
        <f>G159*$M$15</f>
        <v>103.49786640894496</v>
      </c>
      <c r="S159" s="238">
        <f>G159*$R$15</f>
        <v>66.601507407704176</v>
      </c>
    </row>
    <row r="160" spans="1:19" x14ac:dyDescent="0.3">
      <c r="A160" s="231">
        <v>45352</v>
      </c>
      <c r="B160" s="232" t="s">
        <v>99</v>
      </c>
      <c r="G160" s="235">
        <f>GasPrice!E138</f>
        <v>11.506577818120901</v>
      </c>
      <c r="O160" s="238">
        <f>G160*$M$16</f>
        <v>94.281981174421901</v>
      </c>
      <c r="S160" s="238">
        <f>G160*$R$16</f>
        <v>58.457775463936407</v>
      </c>
    </row>
    <row r="161" spans="1:19" x14ac:dyDescent="0.3">
      <c r="A161" s="231">
        <v>45383</v>
      </c>
      <c r="B161" s="232" t="s">
        <v>99</v>
      </c>
      <c r="G161" s="235">
        <f>GasPrice!E139</f>
        <v>11.041456036817495</v>
      </c>
      <c r="O161" s="238">
        <f>G161*$M$17</f>
        <v>91.364504376493315</v>
      </c>
      <c r="S161" s="238">
        <f>G161*$R$17</f>
        <v>52.141075716728949</v>
      </c>
    </row>
    <row r="162" spans="1:19" x14ac:dyDescent="0.3">
      <c r="A162" s="231">
        <v>45413</v>
      </c>
      <c r="B162" s="232" t="s">
        <v>99</v>
      </c>
      <c r="G162" s="235">
        <f>GasPrice!E140</f>
        <v>10.943837885185918</v>
      </c>
      <c r="O162" s="238">
        <f>G162*$M$18</f>
        <v>75.118817481127991</v>
      </c>
      <c r="S162" s="238">
        <f>G162*$R$18</f>
        <v>35.505898560904619</v>
      </c>
    </row>
    <row r="163" spans="1:19" x14ac:dyDescent="0.3">
      <c r="A163" s="231">
        <v>45444</v>
      </c>
      <c r="B163" s="232" t="s">
        <v>99</v>
      </c>
      <c r="G163" s="235">
        <f>GasPrice!E141</f>
        <v>10.92661115254505</v>
      </c>
      <c r="O163" s="238">
        <f>G163*$M$19</f>
        <v>64.931696166868974</v>
      </c>
      <c r="S163" s="238">
        <f>G163*$R$19</f>
        <v>47.910276313196491</v>
      </c>
    </row>
    <row r="164" spans="1:19" x14ac:dyDescent="0.3">
      <c r="A164" s="231">
        <v>45474</v>
      </c>
      <c r="B164" s="232" t="s">
        <v>99</v>
      </c>
      <c r="G164" s="235">
        <f>GasPrice!E142</f>
        <v>10.961064617826787</v>
      </c>
      <c r="O164" s="238">
        <f>G164*$M$20</f>
        <v>102.44202841813691</v>
      </c>
      <c r="S164" s="238">
        <f>G164*$R$20</f>
        <v>61.749725758045329</v>
      </c>
    </row>
    <row r="165" spans="1:19" x14ac:dyDescent="0.3">
      <c r="A165" s="231">
        <v>45505</v>
      </c>
      <c r="B165" s="232" t="s">
        <v>99</v>
      </c>
      <c r="G165" s="235">
        <f>GasPrice!E143</f>
        <v>10.989775838894897</v>
      </c>
      <c r="O165" s="238">
        <f>G165*$M$21</f>
        <v>119.86648954045167</v>
      </c>
      <c r="S165" s="238">
        <f>G165*$R$21</f>
        <v>64.437181156865449</v>
      </c>
    </row>
    <row r="166" spans="1:19" x14ac:dyDescent="0.3">
      <c r="A166" s="231">
        <v>45536</v>
      </c>
      <c r="B166" s="232" t="s">
        <v>99</v>
      </c>
      <c r="G166" s="235">
        <f>GasPrice!E144</f>
        <v>11.093136234740097</v>
      </c>
      <c r="O166" s="238">
        <f>G166*$M$22</f>
        <v>92.287747277221811</v>
      </c>
      <c r="S166" s="238">
        <f>G166*$R$22</f>
        <v>56.875941547475065</v>
      </c>
    </row>
    <row r="167" spans="1:19" x14ac:dyDescent="0.3">
      <c r="A167" s="231">
        <v>45566</v>
      </c>
      <c r="B167" s="232" t="s">
        <v>99</v>
      </c>
      <c r="G167" s="235">
        <f>GasPrice!E145</f>
        <v>10.890399686915192</v>
      </c>
      <c r="O167" s="238">
        <f>G167*$M$23</f>
        <v>98.72202177840019</v>
      </c>
      <c r="S167" s="238">
        <f>G167*$R$23</f>
        <v>58.501712479141098</v>
      </c>
    </row>
    <row r="168" spans="1:19" x14ac:dyDescent="0.3">
      <c r="A168" s="231">
        <v>45597</v>
      </c>
      <c r="B168" s="232" t="s">
        <v>99</v>
      </c>
      <c r="G168" s="235">
        <f>GasPrice!E146</f>
        <v>11.414368625727858</v>
      </c>
      <c r="O168" s="238">
        <f>G168*$M$24</f>
        <v>92.99933441077836</v>
      </c>
      <c r="S168" s="238">
        <f>G168*$R$24</f>
        <v>55.325830171041467</v>
      </c>
    </row>
    <row r="169" spans="1:19" x14ac:dyDescent="0.3">
      <c r="A169" s="231">
        <v>45627</v>
      </c>
      <c r="B169" s="232" t="s">
        <v>99</v>
      </c>
      <c r="G169" s="235">
        <f>GasPrice!E147</f>
        <v>11.823866872953074</v>
      </c>
      <c r="O169" s="238">
        <f>G169*$M$25</f>
        <v>83.400156247601217</v>
      </c>
      <c r="S169" s="238">
        <f>G169*$R$25</f>
        <v>62.310560443847599</v>
      </c>
    </row>
    <row r="170" spans="1:19" x14ac:dyDescent="0.3">
      <c r="A170" s="231">
        <v>45658</v>
      </c>
      <c r="B170" s="232" t="s">
        <v>99</v>
      </c>
      <c r="G170" s="235">
        <f>GasPrice!E148</f>
        <v>12.782061247290041</v>
      </c>
      <c r="O170" s="238">
        <f>G170*$M$14</f>
        <v>119.43205106287475</v>
      </c>
      <c r="S170" s="238">
        <f>G170*$R$14</f>
        <v>87.180078672118682</v>
      </c>
    </row>
    <row r="171" spans="1:19" x14ac:dyDescent="0.3">
      <c r="A171" s="231">
        <v>45689</v>
      </c>
      <c r="B171" s="232" t="s">
        <v>99</v>
      </c>
      <c r="G171" s="235">
        <f>GasPrice!E149</f>
        <v>12.700560864608624</v>
      </c>
      <c r="O171" s="238">
        <f>G171*$M$15</f>
        <v>112.99677115288792</v>
      </c>
      <c r="S171" s="238">
        <f>G171*$R$15</f>
        <v>72.71411046532738</v>
      </c>
    </row>
    <row r="172" spans="1:19" x14ac:dyDescent="0.3">
      <c r="A172" s="231">
        <v>45717</v>
      </c>
      <c r="B172" s="232" t="s">
        <v>99</v>
      </c>
      <c r="G172" s="235">
        <f>GasPrice!E150</f>
        <v>12.562637140070857</v>
      </c>
      <c r="O172" s="238">
        <f>G172*$M$16</f>
        <v>102.93506349698325</v>
      </c>
      <c r="S172" s="238">
        <f>G172*$R$16</f>
        <v>63.822956988361987</v>
      </c>
    </row>
    <row r="173" spans="1:19" x14ac:dyDescent="0.3">
      <c r="A173" s="231">
        <v>45748</v>
      </c>
      <c r="B173" s="232" t="s">
        <v>99</v>
      </c>
      <c r="G173" s="235">
        <f>GasPrice!E151</f>
        <v>12.054827063363593</v>
      </c>
      <c r="O173" s="238">
        <f>G173*$M$17</f>
        <v>99.749824327155252</v>
      </c>
      <c r="S173" s="238">
        <f>G173*$R$17</f>
        <v>56.926518438059489</v>
      </c>
    </row>
    <row r="174" spans="1:19" x14ac:dyDescent="0.3">
      <c r="A174" s="231">
        <v>45778</v>
      </c>
      <c r="B174" s="232" t="s">
        <v>99</v>
      </c>
      <c r="G174" s="235">
        <f>GasPrice!E152</f>
        <v>11.94824963985713</v>
      </c>
      <c r="O174" s="238">
        <f>G174*$M$18</f>
        <v>82.013128605489513</v>
      </c>
      <c r="S174" s="238">
        <f>G174*$R$18</f>
        <v>38.764585526928734</v>
      </c>
    </row>
    <row r="175" spans="1:19" x14ac:dyDescent="0.3">
      <c r="A175" s="231">
        <v>45809</v>
      </c>
      <c r="B175" s="232" t="s">
        <v>99</v>
      </c>
      <c r="G175" s="235">
        <f>GasPrice!E153</f>
        <v>11.929441859238343</v>
      </c>
      <c r="O175" s="238">
        <f>G175*$M$19</f>
        <v>70.89104603708455</v>
      </c>
      <c r="S175" s="238">
        <f>G175*$R$19</f>
        <v>52.307421556334646</v>
      </c>
    </row>
    <row r="176" spans="1:19" x14ac:dyDescent="0.3">
      <c r="A176" s="231">
        <v>45839</v>
      </c>
      <c r="B176" s="232" t="s">
        <v>99</v>
      </c>
      <c r="G176" s="235">
        <f>GasPrice!E154</f>
        <v>11.967057420475921</v>
      </c>
      <c r="O176" s="238">
        <f>G176*$M$20</f>
        <v>111.84402967172102</v>
      </c>
      <c r="S176" s="238">
        <f>G176*$R$20</f>
        <v>67.417038363530878</v>
      </c>
    </row>
    <row r="177" spans="1:19" x14ac:dyDescent="0.3">
      <c r="A177" s="231">
        <v>45870</v>
      </c>
      <c r="B177" s="232" t="s">
        <v>99</v>
      </c>
      <c r="G177" s="235">
        <f>GasPrice!E155</f>
        <v>11.998403721507232</v>
      </c>
      <c r="O177" s="238">
        <f>G177*$M$21</f>
        <v>130.86768604470328</v>
      </c>
      <c r="S177" s="238">
        <f>G177*$R$21</f>
        <v>70.351145057906422</v>
      </c>
    </row>
    <row r="178" spans="1:19" x14ac:dyDescent="0.3">
      <c r="A178" s="231">
        <v>45901</v>
      </c>
      <c r="B178" s="232" t="s">
        <v>99</v>
      </c>
      <c r="G178" s="235">
        <f>GasPrice!E156</f>
        <v>12.111250405219955</v>
      </c>
      <c r="O178" s="238">
        <f>G178*$M$22</f>
        <v>100.75780130669933</v>
      </c>
      <c r="S178" s="238">
        <f>G178*$R$22</f>
        <v>62.095944333299066</v>
      </c>
    </row>
    <row r="179" spans="1:19" x14ac:dyDescent="0.3">
      <c r="A179" s="231">
        <v>45931</v>
      </c>
      <c r="B179" s="232" t="s">
        <v>99</v>
      </c>
      <c r="G179" s="235">
        <f>GasPrice!E157</f>
        <v>11.889906950579258</v>
      </c>
      <c r="O179" s="238">
        <f>G179*$M$23</f>
        <v>107.7826054748525</v>
      </c>
      <c r="S179" s="238">
        <f>G179*$R$23</f>
        <v>63.870926487874257</v>
      </c>
    </row>
    <row r="180" spans="1:19" x14ac:dyDescent="0.3">
      <c r="A180" s="231">
        <v>45962</v>
      </c>
      <c r="B180" s="232" t="s">
        <v>99</v>
      </c>
      <c r="G180" s="235">
        <f>GasPrice!E158</f>
        <v>12.461965103317365</v>
      </c>
      <c r="O180" s="238">
        <f>G180*$M$24</f>
        <v>101.53469701745844</v>
      </c>
      <c r="S180" s="238">
        <f>G180*$R$24</f>
        <v>60.403565673315235</v>
      </c>
    </row>
    <row r="181" spans="1:19" x14ac:dyDescent="0.3">
      <c r="A181" s="231">
        <v>45992</v>
      </c>
      <c r="B181" s="232" t="s">
        <v>99</v>
      </c>
      <c r="G181" s="235">
        <f>GasPrice!E159</f>
        <v>12.909046587551879</v>
      </c>
      <c r="O181" s="238">
        <f>G181*$M$25</f>
        <v>91.054518287256329</v>
      </c>
      <c r="S181" s="238">
        <f>G181*$R$25</f>
        <v>68.029345755412777</v>
      </c>
    </row>
    <row r="182" spans="1:19" x14ac:dyDescent="0.3">
      <c r="A182" s="231">
        <v>46023</v>
      </c>
      <c r="B182" s="232" t="s">
        <v>99</v>
      </c>
      <c r="G182" s="235">
        <f>GasPrice!E160</f>
        <v>13.955182843241701</v>
      </c>
      <c r="O182" s="238">
        <f>G182*$M$14</f>
        <v>130.39337534696583</v>
      </c>
      <c r="S182" s="238">
        <f>G182*$R$14</f>
        <v>95.181357264701731</v>
      </c>
    </row>
    <row r="183" spans="1:19" x14ac:dyDescent="0.3">
      <c r="A183" s="231">
        <v>46054</v>
      </c>
      <c r="B183" s="232" t="s">
        <v>99</v>
      </c>
      <c r="G183" s="235">
        <f>GasPrice!E161</f>
        <v>13.866202457362665</v>
      </c>
      <c r="O183" s="238">
        <f>G183*$M$15</f>
        <v>123.36747349484115</v>
      </c>
      <c r="S183" s="238">
        <f>G183*$R$15</f>
        <v>79.387720587120157</v>
      </c>
    </row>
    <row r="184" spans="1:19" x14ac:dyDescent="0.3">
      <c r="A184" s="231">
        <v>46082</v>
      </c>
      <c r="B184" s="232" t="s">
        <v>99</v>
      </c>
      <c r="G184" s="235">
        <f>GasPrice!E162</f>
        <v>13.715620265875081</v>
      </c>
      <c r="O184" s="238">
        <f>G184*$M$16</f>
        <v>112.38231489351118</v>
      </c>
      <c r="S184" s="238">
        <f>G184*$R$16</f>
        <v>69.680548163370261</v>
      </c>
    </row>
    <row r="185" spans="1:19" x14ac:dyDescent="0.3">
      <c r="A185" s="231">
        <v>46113</v>
      </c>
      <c r="B185" s="232" t="s">
        <v>99</v>
      </c>
      <c r="G185" s="235">
        <f>GasPrice!E163</f>
        <v>13.161204015398038</v>
      </c>
      <c r="O185" s="238">
        <f>G185*$M$17</f>
        <v>108.90473845615611</v>
      </c>
      <c r="S185" s="238">
        <f>G185*$R$17</f>
        <v>62.151163107649573</v>
      </c>
    </row>
    <row r="186" spans="1:19" x14ac:dyDescent="0.3">
      <c r="A186" s="231">
        <v>46143</v>
      </c>
      <c r="B186" s="232" t="s">
        <v>99</v>
      </c>
      <c r="G186" s="235">
        <f>GasPrice!E164</f>
        <v>13.044845049248535</v>
      </c>
      <c r="O186" s="238">
        <f>G186*$M$18</f>
        <v>89.540190982776934</v>
      </c>
      <c r="S186" s="238">
        <f>G186*$R$18</f>
        <v>42.322350707360535</v>
      </c>
    </row>
    <row r="187" spans="1:19" x14ac:dyDescent="0.3">
      <c r="A187" s="231">
        <v>46174</v>
      </c>
      <c r="B187" s="232" t="s">
        <v>99</v>
      </c>
      <c r="G187" s="235">
        <f>GasPrice!E165</f>
        <v>13.024311114045682</v>
      </c>
      <c r="O187" s="238">
        <f>G187*$M$19</f>
        <v>77.397337585588829</v>
      </c>
      <c r="S187" s="238">
        <f>G187*$R$19</f>
        <v>57.108131290791071</v>
      </c>
    </row>
    <row r="188" spans="1:19" x14ac:dyDescent="0.3">
      <c r="A188" s="231">
        <v>46204</v>
      </c>
      <c r="B188" s="232" t="s">
        <v>99</v>
      </c>
      <c r="G188" s="235">
        <f>GasPrice!E166</f>
        <v>13.065378984451392</v>
      </c>
      <c r="O188" s="238">
        <f>G188*$M$20</f>
        <v>122.10893484215833</v>
      </c>
      <c r="S188" s="238">
        <f>G188*$R$20</f>
        <v>73.604489832371812</v>
      </c>
    </row>
    <row r="189" spans="1:19" x14ac:dyDescent="0.3">
      <c r="A189" s="231">
        <v>46235</v>
      </c>
      <c r="B189" s="232" t="s">
        <v>99</v>
      </c>
      <c r="G189" s="235">
        <f>GasPrice!E167</f>
        <v>13.099602209789479</v>
      </c>
      <c r="O189" s="238">
        <f>G189*$M$21</f>
        <v>142.87855860595093</v>
      </c>
      <c r="S189" s="238">
        <f>G189*$R$21</f>
        <v>76.807885169745219</v>
      </c>
    </row>
    <row r="190" spans="1:19" x14ac:dyDescent="0.3">
      <c r="A190" s="231">
        <v>46266</v>
      </c>
      <c r="B190" s="232" t="s">
        <v>99</v>
      </c>
      <c r="G190" s="235">
        <f>GasPrice!E168</f>
        <v>13.222805821006597</v>
      </c>
      <c r="O190" s="238">
        <f>G190*$M$22</f>
        <v>110.00522630230053</v>
      </c>
      <c r="S190" s="238">
        <f>G190*$R$22</f>
        <v>67.795032446638331</v>
      </c>
    </row>
    <row r="191" spans="1:19" x14ac:dyDescent="0.3">
      <c r="A191" s="231">
        <v>46296</v>
      </c>
      <c r="B191" s="232" t="s">
        <v>99</v>
      </c>
      <c r="G191" s="235">
        <f>GasPrice!E169</f>
        <v>12.981147740912467</v>
      </c>
      <c r="O191" s="238">
        <f>G191*$M$23</f>
        <v>117.6747582117434</v>
      </c>
      <c r="S191" s="238">
        <f>G191*$R$23</f>
        <v>69.732920243556805</v>
      </c>
    </row>
    <row r="192" spans="1:19" x14ac:dyDescent="0.3">
      <c r="A192" s="231">
        <v>46327</v>
      </c>
      <c r="B192" s="232" t="s">
        <v>99</v>
      </c>
      <c r="G192" s="235">
        <f>GasPrice!E170</f>
        <v>13.605708675489424</v>
      </c>
      <c r="O192" s="238">
        <f>G192*$M$24</f>
        <v>110.85342452980255</v>
      </c>
      <c r="S192" s="238">
        <f>G192*$R$24</f>
        <v>65.947329389740389</v>
      </c>
    </row>
    <row r="193" spans="1:19" x14ac:dyDescent="0.3">
      <c r="A193" s="231">
        <v>46357</v>
      </c>
      <c r="B193" s="232" t="s">
        <v>99</v>
      </c>
      <c r="G193" s="235">
        <f>GasPrice!E171</f>
        <v>14.09382273922412</v>
      </c>
      <c r="O193" s="238">
        <f>G193*$M$25</f>
        <v>99.411388102318625</v>
      </c>
      <c r="S193" s="238">
        <f>G193*$R$25</f>
        <v>74.272994030925233</v>
      </c>
    </row>
    <row r="194" spans="1:19" x14ac:dyDescent="0.3">
      <c r="A194" s="231">
        <v>46388</v>
      </c>
      <c r="B194" s="232" t="s">
        <v>99</v>
      </c>
      <c r="G194" s="235">
        <f>GasPrice!E172</f>
        <v>15.235972072156702</v>
      </c>
      <c r="O194" s="238">
        <f>G194*$M$14</f>
        <v>142.36071626555102</v>
      </c>
      <c r="S194" s="238">
        <f>G194*$R$14</f>
        <v>103.9169832000637</v>
      </c>
    </row>
    <row r="195" spans="1:19" x14ac:dyDescent="0.3">
      <c r="A195" s="231">
        <v>46419</v>
      </c>
      <c r="B195" s="232" t="s">
        <v>99</v>
      </c>
      <c r="G195" s="235">
        <f>GasPrice!E173</f>
        <v>15.138825177741108</v>
      </c>
      <c r="O195" s="238">
        <f>G195*$M$15</f>
        <v>134.68998592807455</v>
      </c>
      <c r="S195" s="238">
        <f>G195*$R$15</f>
        <v>86.673826299833124</v>
      </c>
    </row>
    <row r="196" spans="1:19" x14ac:dyDescent="0.3">
      <c r="A196" s="231">
        <v>46447</v>
      </c>
      <c r="B196" s="232" t="s">
        <v>99</v>
      </c>
      <c r="G196" s="235">
        <f>GasPrice!E174</f>
        <v>14.974422741037811</v>
      </c>
      <c r="O196" s="238">
        <f>G196*$M$16</f>
        <v>122.6966232084216</v>
      </c>
      <c r="S196" s="238">
        <f>G196*$R$16</f>
        <v>76.075741730881148</v>
      </c>
    </row>
    <row r="197" spans="1:19" x14ac:dyDescent="0.3">
      <c r="A197" s="231">
        <v>46478</v>
      </c>
      <c r="B197" s="232" t="s">
        <v>99</v>
      </c>
      <c r="G197" s="235">
        <f>GasPrice!E175</f>
        <v>14.369122860448368</v>
      </c>
      <c r="O197" s="238">
        <f>G197*$M$17</f>
        <v>118.89987915472463</v>
      </c>
      <c r="S197" s="238">
        <f>G197*$R$17</f>
        <v>67.85531913104181</v>
      </c>
    </row>
    <row r="198" spans="1:19" x14ac:dyDescent="0.3">
      <c r="A198" s="231">
        <v>46508</v>
      </c>
      <c r="B198" s="232" t="s">
        <v>99</v>
      </c>
      <c r="G198" s="235">
        <f>GasPrice!E176</f>
        <v>14.242084613904904</v>
      </c>
      <c r="O198" s="238">
        <f>G198*$M$18</f>
        <v>97.758077731661203</v>
      </c>
      <c r="S198" s="238">
        <f>G198*$R$18</f>
        <v>46.206643126689308</v>
      </c>
    </row>
    <row r="199" spans="1:19" x14ac:dyDescent="0.3">
      <c r="A199" s="231">
        <v>46539</v>
      </c>
      <c r="B199" s="232" t="s">
        <v>99</v>
      </c>
      <c r="G199" s="235">
        <f>GasPrice!E177</f>
        <v>14.219666099808999</v>
      </c>
      <c r="O199" s="238">
        <f>G199*$M$19</f>
        <v>84.500768435606489</v>
      </c>
      <c r="S199" s="238">
        <f>G199*$R$19</f>
        <v>62.349444160878711</v>
      </c>
    </row>
    <row r="200" spans="1:19" x14ac:dyDescent="0.3">
      <c r="A200" s="231">
        <v>46569</v>
      </c>
      <c r="B200" s="232" t="s">
        <v>99</v>
      </c>
      <c r="G200" s="235">
        <f>GasPrice!E178</f>
        <v>14.264503128000813</v>
      </c>
      <c r="O200" s="238">
        <f>G200*$M$20</f>
        <v>133.31594017178472</v>
      </c>
      <c r="S200" s="238">
        <f>G200*$R$20</f>
        <v>80.359817858958024</v>
      </c>
    </row>
    <row r="201" spans="1:19" x14ac:dyDescent="0.3">
      <c r="A201" s="231">
        <v>46600</v>
      </c>
      <c r="B201" s="232" t="s">
        <v>99</v>
      </c>
      <c r="G201" s="235">
        <f>GasPrice!E179</f>
        <v>14.301867318160653</v>
      </c>
      <c r="O201" s="238">
        <f>G201*$M$21</f>
        <v>155.99177402999862</v>
      </c>
      <c r="S201" s="238">
        <f>G201*$R$21</f>
        <v>83.857216814209593</v>
      </c>
    </row>
    <row r="202" spans="1:19" x14ac:dyDescent="0.3">
      <c r="A202" s="231">
        <v>46631</v>
      </c>
      <c r="B202" s="232" t="s">
        <v>99</v>
      </c>
      <c r="G202" s="235">
        <f>GasPrice!E180</f>
        <v>14.436378402736082</v>
      </c>
      <c r="O202" s="238">
        <f>G202*$M$22</f>
        <v>120.10136839911129</v>
      </c>
      <c r="S202" s="238">
        <f>G202*$R$22</f>
        <v>74.017175739705152</v>
      </c>
    </row>
    <row r="203" spans="1:19" x14ac:dyDescent="0.3">
      <c r="A203" s="231">
        <v>46661</v>
      </c>
      <c r="B203" s="232" t="s">
        <v>99</v>
      </c>
      <c r="G203" s="235">
        <f>GasPrice!E181</f>
        <v>14.172541246269997</v>
      </c>
      <c r="O203" s="238">
        <f>G203*$M$23</f>
        <v>128.47480035563891</v>
      </c>
      <c r="S203" s="238">
        <f>G203*$R$23</f>
        <v>76.132920455090371</v>
      </c>
    </row>
    <row r="204" spans="1:19" x14ac:dyDescent="0.3">
      <c r="A204" s="231">
        <v>46692</v>
      </c>
      <c r="B204" s="232" t="s">
        <v>99</v>
      </c>
      <c r="G204" s="235">
        <f>GasPrice!E182</f>
        <v>14.854423602342671</v>
      </c>
      <c r="O204" s="238">
        <f>G204*$M$24</f>
        <v>121.02741319917151</v>
      </c>
      <c r="S204" s="238">
        <f>G204*$R$24</f>
        <v>71.999892806993941</v>
      </c>
    </row>
    <row r="205" spans="1:19" x14ac:dyDescent="0.3">
      <c r="A205" s="231">
        <v>46722</v>
      </c>
      <c r="B205" s="232" t="s">
        <v>99</v>
      </c>
      <c r="G205" s="235">
        <f>GasPrice!E183</f>
        <v>15.387336164408479</v>
      </c>
      <c r="O205" s="238">
        <f>G205*$M$25</f>
        <v>108.53524097785443</v>
      </c>
      <c r="S205" s="238">
        <f>G205*$R$25</f>
        <v>81.089676536819198</v>
      </c>
    </row>
    <row r="206" spans="1:19" x14ac:dyDescent="0.3">
      <c r="A206" s="231">
        <v>46753</v>
      </c>
      <c r="B206" s="232" t="s">
        <v>99</v>
      </c>
      <c r="G206" s="235">
        <f>GasPrice!E184</f>
        <v>16.63431053473861</v>
      </c>
      <c r="O206" s="238">
        <f>G206*$M$14</f>
        <v>155.4264047672136</v>
      </c>
      <c r="S206" s="238">
        <f>G206*$R$14</f>
        <v>113.45435395894549</v>
      </c>
    </row>
    <row r="207" spans="1:19" x14ac:dyDescent="0.3">
      <c r="A207" s="231">
        <v>46784</v>
      </c>
      <c r="B207" s="232" t="s">
        <v>99</v>
      </c>
      <c r="G207" s="235">
        <f>GasPrice!E185</f>
        <v>16.528247619846056</v>
      </c>
      <c r="O207" s="238">
        <f>G207*$M$15</f>
        <v>147.05166439242618</v>
      </c>
      <c r="S207" s="238">
        <f>G207*$R$15</f>
        <v>94.628641682810098</v>
      </c>
    </row>
    <row r="208" spans="1:19" x14ac:dyDescent="0.3">
      <c r="A208" s="231">
        <v>46813</v>
      </c>
      <c r="B208" s="232" t="s">
        <v>99</v>
      </c>
      <c r="G208" s="235">
        <f>GasPrice!E186</f>
        <v>16.348756533104833</v>
      </c>
      <c r="O208" s="238">
        <f>G208*$M$16</f>
        <v>133.95756584133687</v>
      </c>
      <c r="S208" s="238">
        <f>G208*$R$16</f>
        <v>83.057878166149649</v>
      </c>
    </row>
    <row r="209" spans="1:19" x14ac:dyDescent="0.3">
      <c r="A209" s="231">
        <v>46844</v>
      </c>
      <c r="B209" s="232" t="s">
        <v>99</v>
      </c>
      <c r="G209" s="235">
        <f>GasPrice!E187</f>
        <v>15.687902986466653</v>
      </c>
      <c r="O209" s="238">
        <f>G209*$M$17</f>
        <v>129.81236136662312</v>
      </c>
      <c r="S209" s="238">
        <f>G209*$R$17</f>
        <v>74.082995460608245</v>
      </c>
    </row>
    <row r="210" spans="1:19" x14ac:dyDescent="0.3">
      <c r="A210" s="231">
        <v>46874</v>
      </c>
      <c r="B210" s="232" t="s">
        <v>99</v>
      </c>
      <c r="G210" s="235">
        <f>GasPrice!E188</f>
        <v>15.549205328530245</v>
      </c>
      <c r="O210" s="238">
        <f>G210*$M$18</f>
        <v>106.73019184901817</v>
      </c>
      <c r="S210" s="238">
        <f>G210*$R$18</f>
        <v>50.447431046543997</v>
      </c>
    </row>
    <row r="211" spans="1:19" x14ac:dyDescent="0.3">
      <c r="A211" s="231">
        <v>46905</v>
      </c>
      <c r="B211" s="232" t="s">
        <v>99</v>
      </c>
      <c r="G211" s="235">
        <f>GasPrice!E189</f>
        <v>15.524729271247349</v>
      </c>
      <c r="O211" s="238">
        <f>G211*$M$19</f>
        <v>92.256143285444324</v>
      </c>
      <c r="S211" s="238">
        <f>G211*$R$19</f>
        <v>68.071798171364776</v>
      </c>
    </row>
    <row r="212" spans="1:19" x14ac:dyDescent="0.3">
      <c r="A212" s="231">
        <v>46935</v>
      </c>
      <c r="B212" s="232" t="s">
        <v>99</v>
      </c>
      <c r="G212" s="235">
        <f>GasPrice!E190</f>
        <v>15.573681385813146</v>
      </c>
      <c r="O212" s="238">
        <f>G212*$M$20</f>
        <v>145.55151043501417</v>
      </c>
      <c r="S212" s="238">
        <f>G212*$R$20</f>
        <v>87.73514144356939</v>
      </c>
    </row>
    <row r="213" spans="1:19" x14ac:dyDescent="0.3">
      <c r="A213" s="231">
        <v>46966</v>
      </c>
      <c r="B213" s="232" t="s">
        <v>99</v>
      </c>
      <c r="G213" s="235">
        <f>GasPrice!E191</f>
        <v>15.614474814617969</v>
      </c>
      <c r="O213" s="238">
        <f>G213*$M$21</f>
        <v>170.30850396619729</v>
      </c>
      <c r="S213" s="238">
        <f>G213*$R$21</f>
        <v>91.553527301065245</v>
      </c>
    </row>
    <row r="214" spans="1:19" x14ac:dyDescent="0.3">
      <c r="A214" s="231">
        <v>46997</v>
      </c>
      <c r="B214" s="232" t="s">
        <v>99</v>
      </c>
      <c r="G214" s="235">
        <f>GasPrice!E192</f>
        <v>15.76133115831534</v>
      </c>
      <c r="O214" s="238">
        <f>G214*$M$22</f>
        <v>131.12412179126974</v>
      </c>
      <c r="S214" s="238">
        <f>G214*$R$22</f>
        <v>80.81037956275884</v>
      </c>
    </row>
    <row r="215" spans="1:19" x14ac:dyDescent="0.3">
      <c r="A215" s="231">
        <v>47027</v>
      </c>
      <c r="B215" s="232" t="s">
        <v>99</v>
      </c>
      <c r="G215" s="235">
        <f>GasPrice!E193</f>
        <v>15.473279357585172</v>
      </c>
      <c r="O215" s="238">
        <f>G215*$M$23</f>
        <v>140.26605686090181</v>
      </c>
      <c r="S215" s="238">
        <f>G215*$R$23</f>
        <v>83.120304682158732</v>
      </c>
    </row>
    <row r="216" spans="1:19" x14ac:dyDescent="0.3">
      <c r="A216" s="231">
        <v>47058</v>
      </c>
      <c r="B216" s="232" t="s">
        <v>99</v>
      </c>
      <c r="G216" s="235">
        <f>GasPrice!E194</f>
        <v>16.217744023531914</v>
      </c>
      <c r="O216" s="238">
        <f>G216*$M$24</f>
        <v>132.13515782496211</v>
      </c>
      <c r="S216" s="238">
        <f>G216*$R$24</f>
        <v>78.60795292530986</v>
      </c>
    </row>
    <row r="217" spans="1:19" x14ac:dyDescent="0.3">
      <c r="A217" s="231">
        <v>47088</v>
      </c>
      <c r="B217" s="232" t="s">
        <v>99</v>
      </c>
      <c r="G217" s="235">
        <f>GasPrice!E195</f>
        <v>16.799566634080385</v>
      </c>
      <c r="O217" s="238">
        <f>G217*$M$25</f>
        <v>118.49646965996017</v>
      </c>
      <c r="S217" s="238">
        <f>G217*$R$25</f>
        <v>88.531985638118883</v>
      </c>
    </row>
    <row r="218" spans="1:19" x14ac:dyDescent="0.3">
      <c r="A218" s="231">
        <v>47119</v>
      </c>
      <c r="B218" s="232" t="s">
        <v>99</v>
      </c>
      <c r="G218" s="235">
        <f>GasPrice!E196</f>
        <v>18.160986752645581</v>
      </c>
      <c r="O218" s="238">
        <f>G218*$M$14</f>
        <v>169.69124581952815</v>
      </c>
      <c r="S218" s="238">
        <f>G218*$R$14</f>
        <v>123.86705267858278</v>
      </c>
    </row>
    <row r="219" spans="1:19" x14ac:dyDescent="0.3">
      <c r="A219" s="231">
        <v>47150</v>
      </c>
      <c r="B219" s="232" t="s">
        <v>99</v>
      </c>
      <c r="G219" s="235">
        <f>GasPrice!E197</f>
        <v>18.045189516067126</v>
      </c>
      <c r="O219" s="238">
        <f>G219*$M$15</f>
        <v>160.54788224664469</v>
      </c>
      <c r="S219" s="238">
        <f>G219*$R$15</f>
        <v>103.31354007329556</v>
      </c>
    </row>
    <row r="220" spans="1:19" x14ac:dyDescent="0.3">
      <c r="A220" s="231">
        <v>47178</v>
      </c>
      <c r="B220" s="232" t="s">
        <v>99</v>
      </c>
      <c r="G220" s="235">
        <f>GasPrice!E198</f>
        <v>17.849224961857452</v>
      </c>
      <c r="O220" s="238">
        <f>G220*$M$16</f>
        <v>146.25202370609682</v>
      </c>
      <c r="S220" s="238">
        <f>G220*$R$16</f>
        <v>90.680826351544212</v>
      </c>
    </row>
    <row r="221" spans="1:19" x14ac:dyDescent="0.3">
      <c r="A221" s="231">
        <v>47209</v>
      </c>
      <c r="B221" s="232" t="s">
        <v>99</v>
      </c>
      <c r="G221" s="235">
        <f>GasPrice!E199</f>
        <v>17.127719103176339</v>
      </c>
      <c r="O221" s="238">
        <f>G221*$M$17</f>
        <v>141.72637754871209</v>
      </c>
      <c r="S221" s="238">
        <f>G221*$R$17</f>
        <v>80.88224013533187</v>
      </c>
    </row>
    <row r="222" spans="1:19" x14ac:dyDescent="0.3">
      <c r="A222" s="231">
        <v>47239</v>
      </c>
      <c r="B222" s="232" t="s">
        <v>99</v>
      </c>
      <c r="G222" s="235">
        <f>GasPrice!E200</f>
        <v>16.976291947650676</v>
      </c>
      <c r="O222" s="238">
        <f>G222*$M$18</f>
        <v>116.52575537948493</v>
      </c>
      <c r="S222" s="238">
        <f>G222*$R$18</f>
        <v>55.077433178127428</v>
      </c>
    </row>
    <row r="223" spans="1:19" x14ac:dyDescent="0.3">
      <c r="A223" s="231">
        <v>47270</v>
      </c>
      <c r="B223" s="232" t="s">
        <v>99</v>
      </c>
      <c r="G223" s="235">
        <f>GasPrice!E201</f>
        <v>16.949569508440263</v>
      </c>
      <c r="O223" s="238">
        <f>G223*$M$19</f>
        <v>100.72329674008067</v>
      </c>
      <c r="S223" s="238">
        <f>G223*$R$19</f>
        <v>74.319342676522041</v>
      </c>
    </row>
    <row r="224" spans="1:19" x14ac:dyDescent="0.3">
      <c r="A224" s="231">
        <v>47300</v>
      </c>
      <c r="B224" s="232" t="s">
        <v>99</v>
      </c>
      <c r="G224" s="235">
        <f>GasPrice!E202</f>
        <v>17.003014386861093</v>
      </c>
      <c r="O224" s="238">
        <f>G224*$M$20</f>
        <v>158.9100460351232</v>
      </c>
      <c r="S224" s="238">
        <f>G224*$R$20</f>
        <v>95.787363003151242</v>
      </c>
    </row>
    <row r="225" spans="1:19" x14ac:dyDescent="0.3">
      <c r="A225" s="231">
        <v>47331</v>
      </c>
      <c r="B225" s="232" t="s">
        <v>99</v>
      </c>
      <c r="G225" s="235">
        <f>GasPrice!E203</f>
        <v>17.047551785545107</v>
      </c>
      <c r="O225" s="238">
        <f>G225*$M$21</f>
        <v>185.93920547134951</v>
      </c>
      <c r="S225" s="238">
        <f>G225*$R$21</f>
        <v>99.956195539351157</v>
      </c>
    </row>
    <row r="226" spans="1:19" x14ac:dyDescent="0.3">
      <c r="A226" s="231">
        <v>47362</v>
      </c>
      <c r="B226" s="232" t="s">
        <v>99</v>
      </c>
      <c r="G226" s="235">
        <f>GasPrice!E204</f>
        <v>17.207886420807576</v>
      </c>
      <c r="O226" s="238">
        <f>G226*$M$22</f>
        <v>143.15852970463712</v>
      </c>
      <c r="S226" s="238">
        <f>G226*$R$22</f>
        <v>88.227055137069812</v>
      </c>
    </row>
    <row r="227" spans="1:19" x14ac:dyDescent="0.3">
      <c r="A227" s="231">
        <v>47392</v>
      </c>
      <c r="B227" s="232" t="s">
        <v>99</v>
      </c>
      <c r="G227" s="235">
        <f>GasPrice!E205</f>
        <v>16.893397586045751</v>
      </c>
      <c r="O227" s="238">
        <f>G227*$M$23</f>
        <v>153.13950014199963</v>
      </c>
      <c r="S227" s="238">
        <f>G227*$R$23</f>
        <v>90.748982295121621</v>
      </c>
    </row>
    <row r="228" spans="1:19" x14ac:dyDescent="0.3">
      <c r="A228" s="231">
        <v>47423</v>
      </c>
      <c r="B228" s="232" t="s">
        <v>99</v>
      </c>
      <c r="G228" s="235">
        <f>GasPrice!E206</f>
        <v>17.706188288000984</v>
      </c>
      <c r="O228" s="238">
        <f>G228*$M$24</f>
        <v>144.2623573610939</v>
      </c>
      <c r="S228" s="238">
        <f>G228*$R$24</f>
        <v>85.822492537204113</v>
      </c>
    </row>
    <row r="229" spans="1:19" x14ac:dyDescent="0.3">
      <c r="A229" s="231">
        <v>47453</v>
      </c>
      <c r="B229" s="232" t="s">
        <v>99</v>
      </c>
      <c r="G229" s="235">
        <f>GasPrice!E207</f>
        <v>18.341409850114648</v>
      </c>
      <c r="O229" s="238">
        <f>G229*$M$25</f>
        <v>129.37192745293561</v>
      </c>
      <c r="S229" s="238">
        <f>G229*$R$25</f>
        <v>96.657340561338231</v>
      </c>
    </row>
    <row r="230" spans="1:19" x14ac:dyDescent="0.3">
      <c r="A230" s="231">
        <v>47484</v>
      </c>
      <c r="B230" s="232" t="s">
        <v>99</v>
      </c>
      <c r="G230" s="235">
        <f>GasPrice!E208</f>
        <v>19.827779404561365</v>
      </c>
      <c r="O230" s="238">
        <f>G230*$M$14</f>
        <v>185.26529614392598</v>
      </c>
      <c r="S230" s="238">
        <f>G230*$R$14</f>
        <v>135.23541586452316</v>
      </c>
    </row>
    <row r="231" spans="1:19" x14ac:dyDescent="0.3">
      <c r="A231" s="231">
        <v>47515</v>
      </c>
      <c r="B231" s="232" t="s">
        <v>99</v>
      </c>
      <c r="G231" s="235">
        <f>GasPrice!E209</f>
        <v>19.701354442426474</v>
      </c>
      <c r="O231" s="238">
        <f>G231*$M$15</f>
        <v>175.28276609707012</v>
      </c>
      <c r="S231" s="238">
        <f>G231*$R$15</f>
        <v>112.79552757667228</v>
      </c>
    </row>
    <row r="232" spans="1:19" x14ac:dyDescent="0.3">
      <c r="A232" s="231">
        <v>47543</v>
      </c>
      <c r="B232" s="232" t="s">
        <v>99</v>
      </c>
      <c r="G232" s="235">
        <f>GasPrice!E210</f>
        <v>19.487404506505918</v>
      </c>
      <c r="O232" s="238">
        <f>G232*$M$16</f>
        <v>159.67485153815963</v>
      </c>
      <c r="S232" s="238">
        <f>G232*$R$16</f>
        <v>99.003399188088281</v>
      </c>
    </row>
    <row r="233" spans="1:19" x14ac:dyDescent="0.3">
      <c r="A233" s="231">
        <v>47574</v>
      </c>
      <c r="B233" s="232" t="s">
        <v>99</v>
      </c>
      <c r="G233" s="235">
        <f>GasPrice!E211</f>
        <v>18.699679742434732</v>
      </c>
      <c r="O233" s="238">
        <f>G233*$M$17</f>
        <v>154.73384723625117</v>
      </c>
      <c r="S233" s="238">
        <f>G233*$R$17</f>
        <v>88.305510983124336</v>
      </c>
    </row>
    <row r="234" spans="1:19" x14ac:dyDescent="0.3">
      <c r="A234" s="231">
        <v>47604</v>
      </c>
      <c r="B234" s="232" t="s">
        <v>99</v>
      </c>
      <c r="G234" s="235">
        <f>GasPrice!E212</f>
        <v>18.534354791950655</v>
      </c>
      <c r="O234" s="238">
        <f>G234*$M$18</f>
        <v>127.22034348038578</v>
      </c>
      <c r="S234" s="238">
        <f>G234*$R$18</f>
        <v>60.132371115038374</v>
      </c>
    </row>
    <row r="235" spans="1:19" x14ac:dyDescent="0.3">
      <c r="A235" s="231">
        <v>47635</v>
      </c>
      <c r="B235" s="232" t="s">
        <v>99</v>
      </c>
      <c r="G235" s="235">
        <f>GasPrice!E213</f>
        <v>18.505179800688762</v>
      </c>
      <c r="O235" s="238">
        <f>G235*$M$19</f>
        <v>109.96755494970924</v>
      </c>
      <c r="S235" s="238">
        <f>G235*$R$19</f>
        <v>81.140279003144983</v>
      </c>
    </row>
    <row r="236" spans="1:19" x14ac:dyDescent="0.3">
      <c r="A236" s="231">
        <v>47665</v>
      </c>
      <c r="B236" s="232" t="s">
        <v>99</v>
      </c>
      <c r="G236" s="235">
        <f>GasPrice!E214</f>
        <v>18.563529783212559</v>
      </c>
      <c r="O236" s="238">
        <f>G236*$M$20</f>
        <v>173.49461132634329</v>
      </c>
      <c r="S236" s="238">
        <f>G236*$R$20</f>
        <v>104.5786073873136</v>
      </c>
    </row>
    <row r="237" spans="1:19" x14ac:dyDescent="0.3">
      <c r="A237" s="231">
        <v>47696</v>
      </c>
      <c r="B237" s="232" t="s">
        <v>99</v>
      </c>
      <c r="G237" s="235">
        <f>GasPrice!E215</f>
        <v>18.612154768649045</v>
      </c>
      <c r="O237" s="238">
        <f>G237*$M$21</f>
        <v>203.00447321279296</v>
      </c>
      <c r="S237" s="238">
        <f>G237*$R$21</f>
        <v>109.13005016011826</v>
      </c>
    </row>
    <row r="238" spans="1:19" x14ac:dyDescent="0.3">
      <c r="A238" s="231">
        <v>47727</v>
      </c>
      <c r="B238" s="232" t="s">
        <v>99</v>
      </c>
      <c r="G238" s="235">
        <f>GasPrice!E216</f>
        <v>18.787204716220419</v>
      </c>
      <c r="O238" s="238">
        <f>G238*$M$22</f>
        <v>156.29744052598863</v>
      </c>
      <c r="S238" s="238">
        <f>G238*$R$22</f>
        <v>96.324423920250851</v>
      </c>
    </row>
    <row r="239" spans="1:19" x14ac:dyDescent="0.3">
      <c r="A239" s="231">
        <v>47757</v>
      </c>
      <c r="B239" s="232" t="s">
        <v>99</v>
      </c>
      <c r="G239" s="235">
        <f>GasPrice!E217</f>
        <v>18.443852489505833</v>
      </c>
      <c r="O239" s="238">
        <f>G239*$M$23</f>
        <v>167.19445194782912</v>
      </c>
      <c r="S239" s="238">
        <f>G239*$R$23</f>
        <v>99.077810398931007</v>
      </c>
    </row>
    <row r="240" spans="1:19" x14ac:dyDescent="0.3">
      <c r="A240" s="231">
        <v>47788</v>
      </c>
      <c r="B240" s="232" t="s">
        <v>99</v>
      </c>
      <c r="G240" s="235">
        <f>GasPrice!E218</f>
        <v>19.331240105605453</v>
      </c>
      <c r="O240" s="238">
        <f>G240*$M$24</f>
        <v>157.50257610430137</v>
      </c>
      <c r="S240" s="238">
        <f>G240*$R$24</f>
        <v>93.699173572130292</v>
      </c>
    </row>
    <row r="241" spans="1:19" x14ac:dyDescent="0.3">
      <c r="A241" s="231">
        <v>47818</v>
      </c>
      <c r="B241" s="232" t="s">
        <v>99</v>
      </c>
      <c r="G241" s="235">
        <f>GasPrice!E219</f>
        <v>20.024761508277905</v>
      </c>
      <c r="O241" s="238">
        <f>G241*$M$25</f>
        <v>141.24552116123576</v>
      </c>
      <c r="S241" s="238">
        <f>G241*$R$25</f>
        <v>105.52843039779168</v>
      </c>
    </row>
    <row r="242" spans="1:19" x14ac:dyDescent="0.3">
      <c r="A242" s="231">
        <v>47849</v>
      </c>
      <c r="B242" s="232" t="s">
        <v>99</v>
      </c>
      <c r="G242" s="235">
        <f>GasPrice!E220</f>
        <v>21.647548201568807</v>
      </c>
      <c r="O242" s="238">
        <f>G242*$M$14</f>
        <v>202.26871333009362</v>
      </c>
      <c r="S242" s="238">
        <f>G242*$R$14</f>
        <v>147.64715320632402</v>
      </c>
    </row>
    <row r="243" spans="1:19" x14ac:dyDescent="0.3">
      <c r="A243" s="231">
        <v>47880</v>
      </c>
      <c r="B243" s="232" t="s">
        <v>99</v>
      </c>
      <c r="G243" s="235">
        <f>GasPrice!E221</f>
        <v>21.509520114517013</v>
      </c>
      <c r="O243" s="238">
        <f>G243*$M$15</f>
        <v>191.36999915975099</v>
      </c>
      <c r="S243" s="238">
        <f>G243*$R$15</f>
        <v>123.14776003487688</v>
      </c>
    </row>
    <row r="244" spans="1:19" x14ac:dyDescent="0.3">
      <c r="A244" s="231">
        <v>47908</v>
      </c>
      <c r="B244" s="232" t="s">
        <v>99</v>
      </c>
      <c r="G244" s="235">
        <f>GasPrice!E222</f>
        <v>21.275934121044777</v>
      </c>
      <c r="O244" s="238">
        <f>G244*$M$16</f>
        <v>174.32960972197787</v>
      </c>
      <c r="S244" s="238">
        <f>G244*$R$16</f>
        <v>108.08980735130946</v>
      </c>
    </row>
    <row r="245" spans="1:19" x14ac:dyDescent="0.3">
      <c r="A245" s="231">
        <v>47939</v>
      </c>
      <c r="B245" s="232" t="s">
        <v>99</v>
      </c>
      <c r="G245" s="235">
        <f>GasPrice!E223</f>
        <v>20.415912963260585</v>
      </c>
      <c r="O245" s="238">
        <f>G245*$M$17</f>
        <v>168.93512622449069</v>
      </c>
      <c r="S245" s="238">
        <f>G245*$R$17</f>
        <v>96.410080345738876</v>
      </c>
    </row>
    <row r="246" spans="1:19" x14ac:dyDescent="0.3">
      <c r="A246" s="231">
        <v>47969</v>
      </c>
      <c r="B246" s="232" t="s">
        <v>99</v>
      </c>
      <c r="G246" s="235">
        <f>GasPrice!E224</f>
        <v>20.235414695577482</v>
      </c>
      <c r="O246" s="238">
        <f>G246*$M$18</f>
        <v>138.89646750246948</v>
      </c>
      <c r="S246" s="238">
        <f>G246*$R$18</f>
        <v>65.651244934062447</v>
      </c>
    </row>
    <row r="247" spans="1:19" x14ac:dyDescent="0.3">
      <c r="A247" s="231">
        <v>48000</v>
      </c>
      <c r="B247" s="232" t="s">
        <v>99</v>
      </c>
      <c r="G247" s="235">
        <f>GasPrice!E225</f>
        <v>20.203562060103994</v>
      </c>
      <c r="O247" s="238">
        <f>G247*$M$19</f>
        <v>120.06023961689117</v>
      </c>
      <c r="S247" s="238">
        <f>G247*$R$19</f>
        <v>88.587232335520312</v>
      </c>
    </row>
    <row r="248" spans="1:19" x14ac:dyDescent="0.3">
      <c r="A248" s="231">
        <v>48030</v>
      </c>
      <c r="B248" s="232" t="s">
        <v>99</v>
      </c>
      <c r="G248" s="235">
        <f>GasPrice!E226</f>
        <v>20.267267331050977</v>
      </c>
      <c r="O248" s="238">
        <f>G248*$M$20</f>
        <v>189.41772978044418</v>
      </c>
      <c r="S248" s="238">
        <f>G248*$R$20</f>
        <v>114.17670118666989</v>
      </c>
    </row>
    <row r="249" spans="1:19" x14ac:dyDescent="0.3">
      <c r="A249" s="231">
        <v>48061</v>
      </c>
      <c r="B249" s="232" t="s">
        <v>99</v>
      </c>
      <c r="G249" s="235">
        <f>GasPrice!E227</f>
        <v>20.320355056840121</v>
      </c>
      <c r="O249" s="238">
        <f>G249*$M$21</f>
        <v>221.63596988561699</v>
      </c>
      <c r="S249" s="238">
        <f>G249*$R$21</f>
        <v>119.14586968510018</v>
      </c>
    </row>
    <row r="250" spans="1:19" x14ac:dyDescent="0.3">
      <c r="A250" s="231">
        <v>48092</v>
      </c>
      <c r="B250" s="232" t="s">
        <v>99</v>
      </c>
      <c r="G250" s="235">
        <f>GasPrice!E228</f>
        <v>20.511470869681052</v>
      </c>
      <c r="O250" s="238">
        <f>G250*$M$22</f>
        <v>170.64222415092087</v>
      </c>
      <c r="S250" s="238">
        <f>G250*$R$22</f>
        <v>105.1649590837329</v>
      </c>
    </row>
    <row r="251" spans="1:19" x14ac:dyDescent="0.3">
      <c r="A251" s="231">
        <v>48122</v>
      </c>
      <c r="B251" s="232" t="s">
        <v>99</v>
      </c>
      <c r="G251" s="235">
        <f>GasPrice!E229</f>
        <v>20.136606204997012</v>
      </c>
      <c r="O251" s="238">
        <f>G251*$M$23</f>
        <v>182.5393496531882</v>
      </c>
      <c r="S251" s="238">
        <f>G251*$R$23</f>
        <v>108.1710479300242</v>
      </c>
    </row>
    <row r="252" spans="1:19" x14ac:dyDescent="0.3">
      <c r="A252" s="231">
        <v>48153</v>
      </c>
      <c r="B252" s="232" t="s">
        <v>99</v>
      </c>
      <c r="G252" s="235">
        <f>GasPrice!E230</f>
        <v>21.10543714672983</v>
      </c>
      <c r="O252" s="238">
        <f>G252*$M$24</f>
        <v>171.95796556546114</v>
      </c>
      <c r="S252" s="238">
        <f>G252*$R$24</f>
        <v>102.29876654181611</v>
      </c>
    </row>
    <row r="253" spans="1:19" x14ac:dyDescent="0.3">
      <c r="A253" s="231">
        <v>48183</v>
      </c>
      <c r="B253" s="232" t="s">
        <v>99</v>
      </c>
      <c r="G253" s="235">
        <f>GasPrice!E231</f>
        <v>21.862609076417417</v>
      </c>
      <c r="O253" s="238">
        <f>G253*$M$25</f>
        <v>154.20885845089416</v>
      </c>
      <c r="S253" s="238">
        <f>G253*$R$25</f>
        <v>115.21369776519516</v>
      </c>
    </row>
    <row r="254" spans="1:19" x14ac:dyDescent="0.3">
      <c r="A254" s="190">
        <v>48214</v>
      </c>
      <c r="B254" s="167" t="s">
        <v>99</v>
      </c>
      <c r="C254" s="156"/>
      <c r="D254" s="156"/>
      <c r="E254" s="156"/>
      <c r="F254" s="156"/>
      <c r="G254" s="307">
        <f>GasPrice!E232</f>
        <v>23.634333102951516</v>
      </c>
      <c r="H254" s="156"/>
      <c r="I254" s="156"/>
      <c r="J254" s="156"/>
      <c r="K254" s="156"/>
      <c r="L254" s="156"/>
      <c r="M254" s="156"/>
      <c r="N254" s="156"/>
      <c r="O254" s="238">
        <f>G254*$M$14</f>
        <v>220.83268288102937</v>
      </c>
      <c r="P254" s="156"/>
      <c r="Q254" s="156"/>
      <c r="R254" s="156"/>
      <c r="S254" s="238">
        <f>G254*$R$14</f>
        <v>161.19802427916014</v>
      </c>
    </row>
    <row r="255" spans="1:19" x14ac:dyDescent="0.3">
      <c r="A255" s="190">
        <v>48245</v>
      </c>
      <c r="B255" s="167" t="s">
        <v>99</v>
      </c>
      <c r="C255" s="156"/>
      <c r="D255" s="156"/>
      <c r="E255" s="156"/>
      <c r="F255" s="156"/>
      <c r="G255" s="307">
        <f>GasPrice!E233</f>
        <v>23.483636970688888</v>
      </c>
      <c r="H255" s="156"/>
      <c r="I255" s="156"/>
      <c r="J255" s="156"/>
      <c r="K255" s="156"/>
      <c r="L255" s="156"/>
      <c r="M255" s="156"/>
      <c r="N255" s="156"/>
      <c r="O255" s="238">
        <f>G255*$M$15</f>
        <v>208.93369835413188</v>
      </c>
      <c r="P255" s="156"/>
      <c r="Q255" s="156"/>
      <c r="R255" s="156"/>
      <c r="S255" s="238">
        <f>G255*$R$15</f>
        <v>134.45010744152978</v>
      </c>
    </row>
    <row r="256" spans="1:19" x14ac:dyDescent="0.3">
      <c r="A256" s="190">
        <v>48274</v>
      </c>
      <c r="B256" s="167" t="s">
        <v>99</v>
      </c>
      <c r="C256" s="156"/>
      <c r="D256" s="156"/>
      <c r="E256" s="156"/>
      <c r="F256" s="156"/>
      <c r="G256" s="307">
        <f>GasPrice!E234</f>
        <v>23.228612746859852</v>
      </c>
      <c r="H256" s="156"/>
      <c r="I256" s="156"/>
      <c r="J256" s="156"/>
      <c r="K256" s="156"/>
      <c r="L256" s="156"/>
      <c r="M256" s="156"/>
      <c r="N256" s="156"/>
      <c r="O256" s="238">
        <f>G256*$M$16</f>
        <v>190.32936328457603</v>
      </c>
      <c r="P256" s="156"/>
      <c r="Q256" s="156"/>
      <c r="R256" s="156"/>
      <c r="S256" s="238">
        <f>G256*$R$16</f>
        <v>118.010154692233</v>
      </c>
    </row>
    <row r="257" spans="1:19" x14ac:dyDescent="0.3">
      <c r="A257" s="190">
        <v>48305</v>
      </c>
      <c r="B257" s="167" t="s">
        <v>99</v>
      </c>
      <c r="C257" s="156"/>
      <c r="D257" s="156"/>
      <c r="E257" s="156"/>
      <c r="F257" s="156"/>
      <c r="G257" s="307">
        <f>GasPrice!E235</f>
        <v>22.289659922761992</v>
      </c>
      <c r="H257" s="156"/>
      <c r="I257" s="156"/>
      <c r="J257" s="156"/>
      <c r="K257" s="156"/>
      <c r="L257" s="156"/>
      <c r="M257" s="156"/>
      <c r="N257" s="156"/>
      <c r="O257" s="238">
        <f>G257*$M$17</f>
        <v>184.43978083806383</v>
      </c>
      <c r="P257" s="156"/>
      <c r="Q257" s="156"/>
      <c r="R257" s="156"/>
      <c r="S257" s="238">
        <f>G257*$R$17</f>
        <v>105.25847694882978</v>
      </c>
    </row>
    <row r="258" spans="1:19" x14ac:dyDescent="0.3">
      <c r="A258" s="190">
        <v>48335</v>
      </c>
      <c r="B258" s="167" t="s">
        <v>99</v>
      </c>
      <c r="C258" s="156"/>
      <c r="D258" s="156"/>
      <c r="E258" s="156"/>
      <c r="F258" s="156"/>
      <c r="G258" s="307">
        <f>GasPrice!E236</f>
        <v>22.092595749803181</v>
      </c>
      <c r="H258" s="156"/>
      <c r="I258" s="156"/>
      <c r="J258" s="156"/>
      <c r="K258" s="156"/>
      <c r="L258" s="156"/>
      <c r="M258" s="156"/>
      <c r="N258" s="156"/>
      <c r="O258" s="238">
        <f>G258*$M$18</f>
        <v>151.64421158506732</v>
      </c>
      <c r="P258" s="156"/>
      <c r="Q258" s="156"/>
      <c r="R258" s="156"/>
      <c r="S258" s="238">
        <f>G258*$R$18</f>
        <v>71.676634090258929</v>
      </c>
    </row>
    <row r="259" spans="1:19" x14ac:dyDescent="0.3">
      <c r="A259" s="190">
        <v>48366</v>
      </c>
      <c r="B259" s="167" t="s">
        <v>99</v>
      </c>
      <c r="C259" s="156"/>
      <c r="D259" s="156"/>
      <c r="E259" s="156"/>
      <c r="F259" s="156"/>
      <c r="G259" s="307">
        <f>GasPrice!E237</f>
        <v>22.057819719281039</v>
      </c>
      <c r="H259" s="156"/>
      <c r="I259" s="156"/>
      <c r="J259" s="156"/>
      <c r="K259" s="156"/>
      <c r="L259" s="156"/>
      <c r="M259" s="156"/>
      <c r="N259" s="156"/>
      <c r="O259" s="238">
        <f>G259*$M$19</f>
        <v>131.07921826085339</v>
      </c>
      <c r="P259" s="156"/>
      <c r="Q259" s="156"/>
      <c r="R259" s="156"/>
      <c r="S259" s="238">
        <f>G259*$R$19</f>
        <v>96.717657731535326</v>
      </c>
    </row>
    <row r="260" spans="1:19" x14ac:dyDescent="0.3">
      <c r="A260" s="190">
        <v>48396</v>
      </c>
      <c r="B260" s="167" t="s">
        <v>99</v>
      </c>
      <c r="C260" s="156"/>
      <c r="D260" s="156"/>
      <c r="E260" s="156"/>
      <c r="F260" s="156"/>
      <c r="G260" s="307">
        <f>GasPrice!E238</f>
        <v>22.12737178032533</v>
      </c>
      <c r="H260" s="156"/>
      <c r="I260" s="156"/>
      <c r="J260" s="156"/>
      <c r="K260" s="156"/>
      <c r="L260" s="156"/>
      <c r="M260" s="156"/>
      <c r="N260" s="156"/>
      <c r="O260" s="238">
        <f>G260*$M$20</f>
        <v>206.8022521327124</v>
      </c>
      <c r="P260" s="156"/>
      <c r="Q260" s="156"/>
      <c r="R260" s="156"/>
      <c r="S260" s="238">
        <f>G260*$R$20</f>
        <v>124.65569603149586</v>
      </c>
    </row>
    <row r="261" spans="1:19" x14ac:dyDescent="0.3">
      <c r="A261" s="190">
        <v>48427</v>
      </c>
      <c r="B261" s="167" t="s">
        <v>99</v>
      </c>
      <c r="C261" s="156"/>
      <c r="D261" s="156"/>
      <c r="E261" s="156"/>
      <c r="F261" s="156"/>
      <c r="G261" s="307">
        <f>GasPrice!E239</f>
        <v>22.185331831195565</v>
      </c>
      <c r="H261" s="156"/>
      <c r="I261" s="156"/>
      <c r="J261" s="156"/>
      <c r="K261" s="156"/>
      <c r="L261" s="156"/>
      <c r="M261" s="156"/>
      <c r="N261" s="156"/>
      <c r="O261" s="238">
        <f>G261*$M$21</f>
        <v>241.97744202240821</v>
      </c>
      <c r="P261" s="156"/>
      <c r="Q261" s="156"/>
      <c r="R261" s="156"/>
      <c r="S261" s="238">
        <f>G261*$R$21</f>
        <v>130.0809286002393</v>
      </c>
    </row>
    <row r="262" spans="1:19" x14ac:dyDescent="0.3">
      <c r="A262" s="190">
        <v>48458</v>
      </c>
      <c r="B262" s="167" t="s">
        <v>99</v>
      </c>
      <c r="C262" s="156"/>
      <c r="D262" s="156"/>
      <c r="E262" s="156"/>
      <c r="F262" s="156"/>
      <c r="G262" s="307">
        <f>GasPrice!E240</f>
        <v>22.393988014328421</v>
      </c>
      <c r="H262" s="156"/>
      <c r="I262" s="156"/>
      <c r="J262" s="156"/>
      <c r="K262" s="156"/>
      <c r="L262" s="156"/>
      <c r="M262" s="156"/>
      <c r="N262" s="156"/>
      <c r="O262" s="238">
        <f>G262*$M$22</f>
        <v>186.30355407727458</v>
      </c>
      <c r="P262" s="156"/>
      <c r="Q262" s="156"/>
      <c r="R262" s="156"/>
      <c r="S262" s="238">
        <f>G262*$R$22</f>
        <v>114.81686750849154</v>
      </c>
    </row>
    <row r="263" spans="1:19" x14ac:dyDescent="0.3">
      <c r="A263" s="190">
        <v>48488</v>
      </c>
      <c r="B263" s="167" t="s">
        <v>99</v>
      </c>
      <c r="C263" s="156"/>
      <c r="D263" s="156"/>
      <c r="E263" s="156"/>
      <c r="F263" s="156"/>
      <c r="G263" s="307">
        <f>GasPrice!E241</f>
        <v>21.984718739527739</v>
      </c>
      <c r="H263" s="156"/>
      <c r="I263" s="156"/>
      <c r="J263" s="156"/>
      <c r="K263" s="156"/>
      <c r="L263" s="156"/>
      <c r="M263" s="156"/>
      <c r="N263" s="156"/>
      <c r="O263" s="238">
        <f>G263*$M$23</f>
        <v>199.29258287952146</v>
      </c>
      <c r="P263" s="156"/>
      <c r="Q263" s="156"/>
      <c r="R263" s="156"/>
      <c r="S263" s="238">
        <f>G263*$R$23</f>
        <v>118.0988514296622</v>
      </c>
    </row>
    <row r="264" spans="1:19" x14ac:dyDescent="0.3">
      <c r="A264" s="190">
        <v>48519</v>
      </c>
      <c r="B264" s="167" t="s">
        <v>99</v>
      </c>
      <c r="C264" s="156"/>
      <c r="D264" s="156"/>
      <c r="E264" s="156"/>
      <c r="F264" s="156"/>
      <c r="G264" s="307">
        <f>GasPrice!E242</f>
        <v>23.042467773466846</v>
      </c>
      <c r="H264" s="156"/>
      <c r="I264" s="156"/>
      <c r="J264" s="156"/>
      <c r="K264" s="156"/>
      <c r="L264" s="156"/>
      <c r="M264" s="156"/>
      <c r="N264" s="156"/>
      <c r="O264" s="238">
        <f>G264*$M$24</f>
        <v>187.74005259336701</v>
      </c>
      <c r="P264" s="156"/>
      <c r="Q264" s="156"/>
      <c r="R264" s="156"/>
      <c r="S264" s="238">
        <f>G264*$R$24</f>
        <v>111.6876193995557</v>
      </c>
    </row>
    <row r="265" spans="1:19" x14ac:dyDescent="0.3">
      <c r="A265" s="190">
        <v>48549</v>
      </c>
      <c r="B265" s="167" t="s">
        <v>99</v>
      </c>
      <c r="C265" s="156"/>
      <c r="D265" s="156"/>
      <c r="E265" s="156"/>
      <c r="F265" s="156"/>
      <c r="G265" s="307">
        <f>GasPrice!E243</f>
        <v>23.869131995937277</v>
      </c>
      <c r="H265" s="156"/>
      <c r="I265" s="156"/>
      <c r="J265" s="156"/>
      <c r="K265" s="156"/>
      <c r="L265" s="156"/>
      <c r="M265" s="156"/>
      <c r="N265" s="156"/>
      <c r="O265" s="238">
        <f>G265*$M$25</f>
        <v>168.36195462496789</v>
      </c>
      <c r="P265" s="156"/>
      <c r="Q265" s="156"/>
      <c r="R265" s="156"/>
      <c r="S265" s="238">
        <f>G265*$R$25</f>
        <v>125.78786685912387</v>
      </c>
    </row>
    <row r="266" spans="1:19" x14ac:dyDescent="0.3">
      <c r="A266" s="231"/>
      <c r="B266" s="232"/>
      <c r="G266" s="235"/>
      <c r="O266" s="238"/>
      <c r="S266" s="238"/>
    </row>
    <row r="267" spans="1:19" x14ac:dyDescent="0.3">
      <c r="A267" s="231"/>
      <c r="B267" s="232"/>
      <c r="G267" s="235"/>
      <c r="O267" s="238"/>
      <c r="S267" s="238"/>
    </row>
    <row r="268" spans="1:19" x14ac:dyDescent="0.3">
      <c r="A268" s="231"/>
      <c r="B268" s="232"/>
      <c r="G268" s="235"/>
      <c r="O268" s="238"/>
      <c r="S268" s="238"/>
    </row>
    <row r="269" spans="1:19" x14ac:dyDescent="0.3">
      <c r="A269" s="231"/>
      <c r="B269" s="232"/>
      <c r="G269" s="235"/>
      <c r="O269" s="238"/>
      <c r="S269" s="238"/>
    </row>
    <row r="270" spans="1:19" x14ac:dyDescent="0.3">
      <c r="A270" s="231"/>
      <c r="B270" s="232"/>
      <c r="G270" s="235"/>
      <c r="O270" s="238"/>
      <c r="S270" s="238"/>
    </row>
    <row r="271" spans="1:19" x14ac:dyDescent="0.3">
      <c r="A271" s="231"/>
      <c r="B271" s="232"/>
      <c r="G271" s="235"/>
      <c r="O271" s="238"/>
      <c r="S271" s="238"/>
    </row>
    <row r="272" spans="1:19" x14ac:dyDescent="0.3">
      <c r="A272" s="231"/>
      <c r="B272" s="232"/>
      <c r="G272" s="235"/>
      <c r="O272" s="238"/>
      <c r="S272" s="238"/>
    </row>
    <row r="273" spans="1:19" x14ac:dyDescent="0.3">
      <c r="A273" s="231"/>
      <c r="B273" s="232"/>
      <c r="G273" s="235"/>
      <c r="O273" s="238"/>
      <c r="S273" s="238"/>
    </row>
    <row r="274" spans="1:19" x14ac:dyDescent="0.3">
      <c r="A274" s="231"/>
      <c r="B274" s="232"/>
      <c r="G274" s="235"/>
      <c r="O274" s="238"/>
      <c r="S274" s="238"/>
    </row>
    <row r="275" spans="1:19" x14ac:dyDescent="0.3">
      <c r="A275" s="231"/>
      <c r="B275" s="232"/>
      <c r="G275" s="235"/>
      <c r="O275" s="238"/>
      <c r="S275" s="238"/>
    </row>
    <row r="276" spans="1:19" x14ac:dyDescent="0.3">
      <c r="A276" s="231"/>
      <c r="B276" s="232"/>
      <c r="G276" s="235"/>
      <c r="O276" s="238"/>
      <c r="S276" s="238"/>
    </row>
    <row r="277" spans="1:19" x14ac:dyDescent="0.3">
      <c r="A277" s="231"/>
      <c r="B277" s="232"/>
      <c r="G277" s="235"/>
      <c r="O277" s="238"/>
      <c r="S277" s="238"/>
    </row>
    <row r="278" spans="1:19" x14ac:dyDescent="0.3">
      <c r="A278" s="231"/>
      <c r="B278" s="232"/>
      <c r="G278" s="235"/>
      <c r="O278" s="238"/>
      <c r="S278" s="238"/>
    </row>
    <row r="279" spans="1:19" x14ac:dyDescent="0.3">
      <c r="A279" s="231"/>
      <c r="B279" s="232"/>
      <c r="G279" s="235"/>
      <c r="O279" s="238"/>
      <c r="S279" s="238"/>
    </row>
    <row r="280" spans="1:19" x14ac:dyDescent="0.3">
      <c r="A280" s="231"/>
      <c r="B280" s="232"/>
      <c r="G280" s="235"/>
      <c r="O280" s="238"/>
      <c r="S280" s="238"/>
    </row>
    <row r="281" spans="1:19" x14ac:dyDescent="0.3">
      <c r="A281" s="231"/>
      <c r="B281" s="232"/>
      <c r="G281" s="235"/>
      <c r="O281" s="238"/>
      <c r="S281" s="238"/>
    </row>
    <row r="282" spans="1:19" x14ac:dyDescent="0.3">
      <c r="A282" s="231"/>
      <c r="B282" s="232"/>
      <c r="G282" s="235"/>
      <c r="O282" s="238"/>
      <c r="S282" s="238"/>
    </row>
    <row r="283" spans="1:19" x14ac:dyDescent="0.3">
      <c r="A283" s="231"/>
      <c r="B283" s="232"/>
      <c r="G283" s="235"/>
      <c r="O283" s="238"/>
      <c r="S283" s="238"/>
    </row>
    <row r="284" spans="1:19" x14ac:dyDescent="0.3">
      <c r="A284" s="231"/>
      <c r="B284" s="232"/>
      <c r="G284" s="235"/>
      <c r="O284" s="238"/>
      <c r="S284" s="238"/>
    </row>
    <row r="285" spans="1:19" x14ac:dyDescent="0.3">
      <c r="A285" s="231"/>
      <c r="B285" s="232"/>
      <c r="G285" s="235"/>
      <c r="O285" s="238"/>
      <c r="S285" s="238"/>
    </row>
    <row r="286" spans="1:19" x14ac:dyDescent="0.3">
      <c r="A286" s="231"/>
      <c r="B286" s="232"/>
      <c r="G286" s="235"/>
      <c r="O286" s="238"/>
      <c r="S286" s="238"/>
    </row>
    <row r="287" spans="1:19" x14ac:dyDescent="0.3">
      <c r="A287" s="231"/>
      <c r="B287" s="232"/>
      <c r="G287" s="235"/>
      <c r="O287" s="238"/>
      <c r="S287" s="238"/>
    </row>
    <row r="288" spans="1:19" x14ac:dyDescent="0.3">
      <c r="A288" s="231"/>
      <c r="B288" s="232"/>
      <c r="G288" s="235"/>
      <c r="O288" s="238"/>
      <c r="S288" s="238"/>
    </row>
    <row r="289" spans="1:19" x14ac:dyDescent="0.3">
      <c r="A289" s="231"/>
      <c r="B289" s="232"/>
      <c r="G289" s="235"/>
      <c r="O289" s="238"/>
      <c r="S289" s="238"/>
    </row>
    <row r="290" spans="1:19" x14ac:dyDescent="0.3">
      <c r="A290" s="231"/>
    </row>
    <row r="291" spans="1:19" x14ac:dyDescent="0.3">
      <c r="A291" s="231"/>
    </row>
    <row r="292" spans="1:19" x14ac:dyDescent="0.3">
      <c r="A292" s="231"/>
    </row>
    <row r="293" spans="1:19" x14ac:dyDescent="0.3">
      <c r="A293" s="231"/>
    </row>
    <row r="294" spans="1:19" x14ac:dyDescent="0.3">
      <c r="A294" s="231"/>
    </row>
    <row r="295" spans="1:19" x14ac:dyDescent="0.3">
      <c r="A295" s="231"/>
    </row>
    <row r="296" spans="1:19" x14ac:dyDescent="0.3">
      <c r="A296" s="231"/>
    </row>
    <row r="297" spans="1:19" x14ac:dyDescent="0.3">
      <c r="A297" s="231"/>
    </row>
    <row r="298" spans="1:19" x14ac:dyDescent="0.3">
      <c r="A298" s="231"/>
    </row>
    <row r="299" spans="1:19" x14ac:dyDescent="0.3">
      <c r="A299" s="231"/>
    </row>
    <row r="300" spans="1:19" x14ac:dyDescent="0.3">
      <c r="A300" s="231"/>
    </row>
    <row r="301" spans="1:19" x14ac:dyDescent="0.3">
      <c r="A301" s="231"/>
    </row>
  </sheetData>
  <mergeCells count="2">
    <mergeCell ref="X7:Y7"/>
    <mergeCell ref="AA7:AB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7"/>
  <sheetViews>
    <sheetView topLeftCell="A4" workbookViewId="0">
      <selection activeCell="K18" sqref="K18"/>
    </sheetView>
  </sheetViews>
  <sheetFormatPr defaultColWidth="12.44140625" defaultRowHeight="13.2" x14ac:dyDescent="0.25"/>
  <cols>
    <col min="1" max="4" width="12.44140625" style="61"/>
    <col min="5" max="10" width="0" style="61" hidden="1" customWidth="1"/>
    <col min="11" max="14" width="12.44140625" style="61" customWidth="1"/>
    <col min="15" max="41" width="12.44140625" style="61"/>
    <col min="42" max="42" width="4" style="61" customWidth="1"/>
    <col min="43" max="16384" width="12.44140625" style="61"/>
  </cols>
  <sheetData>
    <row r="1" spans="1:47" ht="15.75" x14ac:dyDescent="0.25">
      <c r="A1" s="60" t="s">
        <v>51</v>
      </c>
    </row>
    <row r="2" spans="1:47" ht="12.75" x14ac:dyDescent="0.2">
      <c r="A2" s="62" t="s">
        <v>52</v>
      </c>
      <c r="L2" s="61" t="s">
        <v>107</v>
      </c>
      <c r="M2" s="276">
        <f>'KeyInputs&amp;Result'!F3</f>
        <v>0</v>
      </c>
      <c r="N2" s="61" t="s">
        <v>108</v>
      </c>
    </row>
    <row r="3" spans="1:47" ht="13.5" thickBot="1" x14ac:dyDescent="0.25">
      <c r="M3" s="276">
        <v>0</v>
      </c>
      <c r="N3" s="61" t="s">
        <v>109</v>
      </c>
    </row>
    <row r="4" spans="1:47" ht="53.1" customHeight="1" thickBot="1" x14ac:dyDescent="0.3">
      <c r="D4" s="63" t="s">
        <v>53</v>
      </c>
      <c r="E4" s="358" t="s">
        <v>54</v>
      </c>
      <c r="F4" s="359"/>
      <c r="G4" s="360"/>
      <c r="H4" s="358" t="s">
        <v>55</v>
      </c>
      <c r="I4" s="359"/>
      <c r="J4" s="360"/>
      <c r="P4" s="355"/>
      <c r="Q4" s="355"/>
      <c r="R4" s="355"/>
      <c r="S4" s="355"/>
      <c r="T4" s="355"/>
      <c r="U4" s="355"/>
      <c r="AL4" s="361"/>
      <c r="AM4" s="361"/>
      <c r="AN4" s="361"/>
      <c r="AO4" s="361"/>
      <c r="AP4" s="361"/>
      <c r="AQ4" s="361"/>
      <c r="AR4" s="361"/>
      <c r="AS4" s="361"/>
    </row>
    <row r="5" spans="1:47" ht="15" thickBot="1" x14ac:dyDescent="0.35">
      <c r="A5" s="64" t="s">
        <v>0</v>
      </c>
      <c r="B5" s="65"/>
      <c r="C5" s="65"/>
      <c r="D5" s="66" t="s">
        <v>56</v>
      </c>
      <c r="E5" s="67" t="s">
        <v>57</v>
      </c>
      <c r="F5" s="68" t="s">
        <v>58</v>
      </c>
      <c r="G5" s="69" t="s">
        <v>59</v>
      </c>
      <c r="H5" s="67" t="s">
        <v>57</v>
      </c>
      <c r="I5" s="68" t="s">
        <v>58</v>
      </c>
      <c r="J5" s="69" t="s">
        <v>59</v>
      </c>
      <c r="K5" s="70" t="s">
        <v>56</v>
      </c>
      <c r="L5" s="71"/>
      <c r="M5" s="71"/>
      <c r="N5" s="71"/>
      <c r="O5" s="72"/>
      <c r="P5" s="355"/>
      <c r="Q5" s="355"/>
      <c r="R5" s="355"/>
      <c r="S5" s="355"/>
      <c r="T5" s="355"/>
      <c r="U5" s="355"/>
      <c r="V5" s="362"/>
      <c r="W5" s="362"/>
      <c r="X5" s="362"/>
      <c r="Y5" s="362"/>
      <c r="AJ5" s="71"/>
      <c r="AK5" s="73"/>
      <c r="AL5" s="363"/>
      <c r="AM5" s="364"/>
      <c r="AN5" s="74"/>
      <c r="AO5" s="74"/>
      <c r="AP5" s="363"/>
      <c r="AQ5" s="364"/>
      <c r="AR5" s="74"/>
      <c r="AS5" s="74"/>
      <c r="AT5" s="73"/>
      <c r="AU5" s="73"/>
    </row>
    <row r="6" spans="1:47" x14ac:dyDescent="0.25">
      <c r="A6" s="75"/>
      <c r="B6" s="76"/>
      <c r="C6" s="77"/>
      <c r="D6" s="78" t="s">
        <v>60</v>
      </c>
      <c r="E6" s="78" t="s">
        <v>60</v>
      </c>
      <c r="F6" s="79" t="s">
        <v>60</v>
      </c>
      <c r="G6" s="80" t="s">
        <v>60</v>
      </c>
      <c r="H6" s="78" t="s">
        <v>61</v>
      </c>
      <c r="I6" s="76" t="s">
        <v>61</v>
      </c>
      <c r="J6" s="81" t="s">
        <v>61</v>
      </c>
      <c r="K6" s="82" t="s">
        <v>62</v>
      </c>
      <c r="L6" s="73"/>
      <c r="M6" s="73"/>
      <c r="N6" s="73"/>
      <c r="O6" s="72"/>
      <c r="P6" s="83"/>
      <c r="Q6" s="83"/>
      <c r="R6" s="83"/>
      <c r="S6" s="83"/>
      <c r="T6" s="83"/>
      <c r="U6" s="83"/>
      <c r="V6" s="83"/>
      <c r="W6" s="83"/>
      <c r="X6" s="83"/>
      <c r="Y6" s="83"/>
      <c r="AJ6" s="73"/>
      <c r="AK6" s="73"/>
      <c r="AL6" s="363"/>
      <c r="AM6" s="364"/>
      <c r="AN6" s="74"/>
      <c r="AO6" s="74"/>
      <c r="AP6" s="363"/>
      <c r="AQ6" s="364"/>
      <c r="AR6" s="74"/>
      <c r="AS6" s="74"/>
      <c r="AT6" s="73"/>
      <c r="AU6" s="73"/>
    </row>
    <row r="7" spans="1:47" ht="6" customHeight="1" x14ac:dyDescent="0.2">
      <c r="A7" s="84"/>
      <c r="B7" s="85"/>
      <c r="C7" s="86"/>
      <c r="D7" s="87"/>
      <c r="E7" s="84"/>
      <c r="F7" s="88"/>
      <c r="G7" s="89"/>
      <c r="H7" s="84"/>
      <c r="I7" s="90"/>
      <c r="J7" s="91"/>
      <c r="K7" s="92"/>
      <c r="L7" s="73"/>
      <c r="M7" s="73"/>
      <c r="N7" s="73"/>
      <c r="O7" s="72"/>
      <c r="P7" s="83"/>
      <c r="Q7" s="83"/>
      <c r="R7" s="72"/>
      <c r="S7" s="72"/>
      <c r="T7" s="72"/>
      <c r="U7" s="72"/>
      <c r="V7" s="72"/>
      <c r="W7" s="72"/>
      <c r="X7" s="72"/>
      <c r="Y7" s="72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</row>
    <row r="8" spans="1:47" ht="12.75" customHeight="1" x14ac:dyDescent="0.2">
      <c r="A8" s="84">
        <v>2005</v>
      </c>
      <c r="B8" s="85"/>
      <c r="C8" s="86"/>
      <c r="D8" s="93">
        <f ca="1">OFFSET(D8,0,MATCH($D$5,$E$5:$K$5,0))</f>
        <v>0</v>
      </c>
      <c r="E8" s="84"/>
      <c r="F8" s="88"/>
      <c r="G8" s="89"/>
      <c r="H8" s="94"/>
      <c r="I8" s="88"/>
      <c r="J8" s="95"/>
      <c r="K8" s="92"/>
      <c r="L8" s="73"/>
      <c r="M8" s="272">
        <v>41275</v>
      </c>
      <c r="N8" s="273"/>
      <c r="O8" s="72">
        <f>IF(YEAR(M8)=2013,17)</f>
        <v>17</v>
      </c>
      <c r="P8" s="83"/>
      <c r="Q8" s="83"/>
      <c r="R8" s="72"/>
      <c r="S8" s="72"/>
      <c r="T8" s="72"/>
      <c r="U8" s="72"/>
      <c r="V8" s="72"/>
      <c r="W8" s="72"/>
      <c r="X8" s="72"/>
      <c r="Y8" s="72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</row>
    <row r="9" spans="1:47" ht="12.75" customHeight="1" x14ac:dyDescent="0.25">
      <c r="A9" s="84">
        <v>2006</v>
      </c>
      <c r="B9" s="85"/>
      <c r="C9" s="86"/>
      <c r="D9" s="93">
        <f ca="1">OFFSET(D9,0,MATCH($D$5,$E$5:$K$5,0))</f>
        <v>0</v>
      </c>
      <c r="E9" s="96"/>
      <c r="F9" s="88"/>
      <c r="G9" s="89"/>
      <c r="H9" s="94"/>
      <c r="I9" s="88"/>
      <c r="J9" s="95"/>
      <c r="K9" s="92"/>
      <c r="L9" s="73"/>
      <c r="M9" s="272">
        <v>41306</v>
      </c>
      <c r="N9" s="73"/>
      <c r="O9" s="72"/>
      <c r="P9" s="97"/>
      <c r="Q9" s="97"/>
      <c r="R9" s="72"/>
      <c r="S9" s="72"/>
      <c r="T9" s="72"/>
      <c r="U9" s="72"/>
      <c r="V9" s="72"/>
      <c r="W9" s="72"/>
      <c r="X9" s="72"/>
      <c r="Y9" s="72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</row>
    <row r="10" spans="1:47" ht="12.75" customHeight="1" x14ac:dyDescent="0.25">
      <c r="A10" s="98">
        <v>2007</v>
      </c>
      <c r="B10" s="85"/>
      <c r="C10" s="86"/>
      <c r="D10" s="93">
        <f ca="1">OFFSET(D10,0,MATCH($D$5,$E$5:$K$5,0))</f>
        <v>0</v>
      </c>
      <c r="E10" s="99"/>
      <c r="F10" s="88"/>
      <c r="G10" s="89"/>
      <c r="H10" s="94"/>
      <c r="I10" s="88"/>
      <c r="J10" s="95"/>
      <c r="K10" s="92"/>
      <c r="L10" s="73"/>
      <c r="M10" s="272">
        <v>41334</v>
      </c>
      <c r="N10" s="73"/>
      <c r="O10" s="72"/>
      <c r="P10" s="97"/>
      <c r="Q10" s="97"/>
      <c r="R10" s="72"/>
      <c r="S10" s="72"/>
      <c r="T10" s="72"/>
      <c r="U10" s="72"/>
      <c r="V10" s="72"/>
      <c r="W10" s="72"/>
      <c r="X10" s="72"/>
      <c r="Y10" s="72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</row>
    <row r="11" spans="1:47" ht="12.75" customHeight="1" x14ac:dyDescent="0.25">
      <c r="A11" s="98">
        <v>2008</v>
      </c>
      <c r="B11" s="85"/>
      <c r="C11" s="86"/>
      <c r="D11" s="93">
        <f ca="1">OFFSET(D11,0,MATCH($D$5,$E$5:$K$5,0))</f>
        <v>0</v>
      </c>
      <c r="E11" s="99"/>
      <c r="F11" s="88"/>
      <c r="G11" s="89"/>
      <c r="H11" s="94"/>
      <c r="I11" s="88"/>
      <c r="J11" s="95"/>
      <c r="K11" s="92"/>
      <c r="L11" s="73"/>
      <c r="M11" s="272">
        <v>41365</v>
      </c>
      <c r="N11" s="73"/>
      <c r="O11" s="72"/>
      <c r="P11" s="97"/>
      <c r="Q11" s="97"/>
      <c r="R11" s="72"/>
      <c r="S11" s="72"/>
      <c r="T11" s="72"/>
      <c r="U11" s="72"/>
      <c r="V11" s="72"/>
      <c r="W11" s="72"/>
      <c r="X11" s="72"/>
      <c r="Y11" s="72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</row>
    <row r="12" spans="1:47" ht="12.75" customHeight="1" thickBot="1" x14ac:dyDescent="0.3">
      <c r="A12" s="100">
        <v>2009</v>
      </c>
      <c r="B12" s="101"/>
      <c r="C12" s="102"/>
      <c r="D12" s="103">
        <f ca="1">OFFSET(D12,0,MATCH($D$5,$E$5:$K$5,0))</f>
        <v>0</v>
      </c>
      <c r="E12" s="104"/>
      <c r="F12" s="105"/>
      <c r="G12" s="106"/>
      <c r="H12" s="107"/>
      <c r="I12" s="105"/>
      <c r="J12" s="108"/>
      <c r="K12" s="109"/>
      <c r="L12" s="73"/>
      <c r="M12" s="272">
        <v>41395</v>
      </c>
      <c r="N12" s="73"/>
      <c r="O12" s="72"/>
      <c r="P12" s="97"/>
      <c r="Q12" s="97"/>
      <c r="R12" s="72"/>
      <c r="S12" s="72"/>
      <c r="T12" s="72"/>
      <c r="U12" s="72"/>
      <c r="V12" s="72"/>
      <c r="W12" s="72"/>
      <c r="X12" s="72"/>
      <c r="Y12" s="72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</row>
    <row r="13" spans="1:47" ht="12.75" customHeight="1" x14ac:dyDescent="0.25">
      <c r="A13" s="110">
        <v>2010</v>
      </c>
      <c r="B13" s="111"/>
      <c r="C13" s="112"/>
      <c r="D13" s="113"/>
      <c r="E13" s="114"/>
      <c r="F13" s="115"/>
      <c r="G13" s="116"/>
      <c r="H13" s="117"/>
      <c r="I13" s="115"/>
      <c r="J13" s="118"/>
      <c r="K13" s="119"/>
      <c r="L13" s="120"/>
      <c r="M13" s="272">
        <v>41426</v>
      </c>
      <c r="N13" s="120"/>
      <c r="O13" s="72"/>
      <c r="P13" s="97"/>
      <c r="Q13" s="97"/>
      <c r="R13" s="97"/>
      <c r="S13" s="97"/>
      <c r="T13" s="97"/>
      <c r="U13" s="97"/>
      <c r="V13" s="97"/>
      <c r="W13" s="97"/>
      <c r="X13" s="97"/>
      <c r="Y13" s="97"/>
      <c r="AJ13" s="120"/>
      <c r="AK13" s="73"/>
      <c r="AL13" s="121"/>
      <c r="AM13" s="122"/>
      <c r="AN13" s="122"/>
      <c r="AO13" s="122"/>
      <c r="AP13" s="73"/>
      <c r="AQ13" s="122"/>
      <c r="AR13" s="122"/>
      <c r="AS13" s="122"/>
      <c r="AT13" s="123"/>
      <c r="AU13" s="124"/>
    </row>
    <row r="14" spans="1:47" ht="12.75" customHeight="1" x14ac:dyDescent="0.25">
      <c r="A14" s="98">
        <v>2011</v>
      </c>
      <c r="B14" s="85"/>
      <c r="C14" s="125"/>
      <c r="D14" s="126">
        <f ca="1">OFFSET(D14,0,MATCH($D$5,$E$5:$K$5,0))</f>
        <v>0</v>
      </c>
      <c r="E14" s="99"/>
      <c r="F14" s="88"/>
      <c r="G14" s="95"/>
      <c r="H14" s="94"/>
      <c r="I14" s="88"/>
      <c r="J14" s="89"/>
      <c r="K14" s="127"/>
      <c r="L14" s="120"/>
      <c r="M14" s="272">
        <v>41456</v>
      </c>
      <c r="N14" s="120"/>
      <c r="O14" s="72"/>
      <c r="P14" s="97"/>
      <c r="Q14" s="97"/>
      <c r="R14" s="97"/>
      <c r="S14" s="97"/>
      <c r="T14" s="97"/>
      <c r="U14" s="97"/>
      <c r="V14" s="97"/>
      <c r="W14" s="97"/>
      <c r="X14" s="97"/>
      <c r="Y14" s="97"/>
      <c r="AJ14" s="120"/>
      <c r="AK14" s="73"/>
      <c r="AL14" s="121"/>
      <c r="AM14" s="122"/>
      <c r="AN14" s="122"/>
      <c r="AO14" s="122"/>
      <c r="AP14" s="73"/>
      <c r="AQ14" s="122"/>
      <c r="AR14" s="122"/>
      <c r="AS14" s="122"/>
      <c r="AT14" s="123"/>
      <c r="AU14" s="124"/>
    </row>
    <row r="15" spans="1:47" ht="12.75" customHeight="1" x14ac:dyDescent="0.25">
      <c r="A15" s="98">
        <v>2012</v>
      </c>
      <c r="B15" s="85"/>
      <c r="C15" s="125"/>
      <c r="D15" s="126">
        <f ca="1">OFFSET(D15,0,MATCH($D$5,$E$5:$K$5,0))</f>
        <v>0</v>
      </c>
      <c r="E15" s="99"/>
      <c r="F15" s="88"/>
      <c r="G15" s="95"/>
      <c r="H15" s="94"/>
      <c r="I15" s="88"/>
      <c r="J15" s="89"/>
      <c r="K15" s="127">
        <v>0</v>
      </c>
      <c r="L15" s="120"/>
      <c r="M15" s="272">
        <v>41487</v>
      </c>
      <c r="N15" s="120"/>
      <c r="O15" s="72"/>
      <c r="P15" s="97"/>
      <c r="Q15" s="97"/>
      <c r="R15" s="97"/>
      <c r="S15" s="97"/>
      <c r="T15" s="97"/>
      <c r="U15" s="97"/>
      <c r="V15" s="97"/>
      <c r="W15" s="97"/>
      <c r="X15" s="97"/>
      <c r="Y15" s="97"/>
      <c r="AJ15" s="120"/>
      <c r="AK15" s="128"/>
      <c r="AL15" s="121"/>
      <c r="AM15" s="122"/>
      <c r="AN15" s="122"/>
      <c r="AO15" s="122"/>
      <c r="AP15" s="73"/>
      <c r="AQ15" s="122"/>
      <c r="AR15" s="122"/>
      <c r="AS15" s="122"/>
      <c r="AT15" s="123"/>
      <c r="AU15" s="124"/>
    </row>
    <row r="16" spans="1:47" ht="12.75" customHeight="1" x14ac:dyDescent="0.25">
      <c r="A16" s="98">
        <v>2013</v>
      </c>
      <c r="B16" s="85"/>
      <c r="C16" s="125"/>
      <c r="D16" s="126">
        <f ca="1">IF($M$2=1,OFFSET(D16,0,MATCH($D$5,$E$5:$K$5,0)),0)</f>
        <v>0</v>
      </c>
      <c r="E16" s="99"/>
      <c r="F16" s="88"/>
      <c r="G16" s="95"/>
      <c r="H16" s="94"/>
      <c r="I16" s="88"/>
      <c r="J16" s="89"/>
      <c r="K16" s="127">
        <f>'KeyInputs&amp;Result'!D6</f>
        <v>0</v>
      </c>
      <c r="L16" s="120"/>
      <c r="M16" s="272">
        <v>41518</v>
      </c>
      <c r="N16" s="120"/>
      <c r="O16" s="72"/>
      <c r="P16" s="97"/>
      <c r="Q16" s="97"/>
      <c r="R16" s="97"/>
      <c r="S16" s="97"/>
      <c r="T16" s="97"/>
      <c r="U16" s="97"/>
      <c r="V16" s="97"/>
      <c r="W16" s="97"/>
      <c r="X16" s="97"/>
      <c r="Y16" s="97"/>
      <c r="AJ16" s="120"/>
      <c r="AK16" s="128"/>
      <c r="AL16" s="121"/>
      <c r="AM16" s="122"/>
      <c r="AN16" s="122"/>
      <c r="AO16" s="122"/>
      <c r="AP16" s="73"/>
      <c r="AQ16" s="122"/>
      <c r="AR16" s="122"/>
      <c r="AS16" s="122"/>
      <c r="AT16" s="123"/>
      <c r="AU16" s="124"/>
    </row>
    <row r="17" spans="1:47" ht="12.75" customHeight="1" x14ac:dyDescent="0.25">
      <c r="A17" s="98">
        <v>2014</v>
      </c>
      <c r="B17" s="85"/>
      <c r="C17" s="125"/>
      <c r="D17" s="126">
        <f t="shared" ref="D17:D35" ca="1" si="0">IF($M$2=1,OFFSET(D17,0,MATCH($D$5,$E$5:$K$5,0)),0)</f>
        <v>0</v>
      </c>
      <c r="E17" s="94"/>
      <c r="F17" s="88"/>
      <c r="G17" s="95"/>
      <c r="H17" s="94"/>
      <c r="I17" s="88"/>
      <c r="J17" s="89"/>
      <c r="K17" s="127">
        <f>'KeyInputs&amp;Result'!D7</f>
        <v>0</v>
      </c>
      <c r="L17" s="120"/>
      <c r="M17" s="272">
        <v>41548</v>
      </c>
      <c r="N17" s="120"/>
      <c r="O17" s="72"/>
      <c r="P17" s="97"/>
      <c r="Q17" s="97"/>
      <c r="R17" s="97"/>
      <c r="S17" s="97"/>
      <c r="T17" s="97"/>
      <c r="U17" s="97"/>
      <c r="V17" s="97"/>
      <c r="W17" s="97"/>
      <c r="X17" s="97"/>
      <c r="Y17" s="97"/>
      <c r="AJ17" s="120"/>
      <c r="AK17" s="128"/>
      <c r="AL17" s="121"/>
      <c r="AM17" s="122"/>
      <c r="AN17" s="122"/>
      <c r="AO17" s="122"/>
      <c r="AP17" s="73"/>
      <c r="AQ17" s="122"/>
      <c r="AR17" s="122"/>
      <c r="AS17" s="122"/>
      <c r="AT17" s="123"/>
      <c r="AU17" s="124"/>
    </row>
    <row r="18" spans="1:47" ht="12.75" customHeight="1" x14ac:dyDescent="0.25">
      <c r="A18" s="98">
        <v>2015</v>
      </c>
      <c r="B18" s="85"/>
      <c r="C18" s="125"/>
      <c r="D18" s="126">
        <f t="shared" ca="1" si="0"/>
        <v>0</v>
      </c>
      <c r="E18" s="94"/>
      <c r="F18" s="88"/>
      <c r="G18" s="95"/>
      <c r="H18" s="94"/>
      <c r="I18" s="88"/>
      <c r="J18" s="89"/>
      <c r="K18" s="127">
        <f>'KeyInputs&amp;Result'!D8</f>
        <v>0</v>
      </c>
      <c r="L18" s="120"/>
      <c r="M18" s="272">
        <v>41579</v>
      </c>
      <c r="N18" s="120"/>
      <c r="O18" s="72"/>
      <c r="P18" s="97"/>
      <c r="Q18" s="97"/>
      <c r="R18" s="97"/>
      <c r="S18" s="97"/>
      <c r="T18" s="97"/>
      <c r="U18" s="97"/>
      <c r="V18" s="97"/>
      <c r="W18" s="97"/>
      <c r="X18" s="97"/>
      <c r="Y18" s="97"/>
      <c r="AJ18" s="120"/>
      <c r="AK18" s="128"/>
      <c r="AL18" s="121"/>
      <c r="AM18" s="122"/>
      <c r="AN18" s="122"/>
      <c r="AO18" s="122"/>
      <c r="AP18" s="73"/>
      <c r="AQ18" s="122"/>
      <c r="AR18" s="122"/>
      <c r="AS18" s="122"/>
      <c r="AT18" s="123"/>
      <c r="AU18" s="124"/>
    </row>
    <row r="19" spans="1:47" ht="12.75" customHeight="1" x14ac:dyDescent="0.25">
      <c r="A19" s="98">
        <v>2016</v>
      </c>
      <c r="B19" s="85"/>
      <c r="C19" s="125"/>
      <c r="D19" s="126">
        <f t="shared" ca="1" si="0"/>
        <v>0</v>
      </c>
      <c r="E19" s="94"/>
      <c r="F19" s="88"/>
      <c r="G19" s="95"/>
      <c r="H19" s="94"/>
      <c r="I19" s="88"/>
      <c r="J19" s="89"/>
      <c r="K19" s="127">
        <f>'KeyInputs&amp;Result'!D9</f>
        <v>0</v>
      </c>
      <c r="L19" s="120"/>
      <c r="M19" s="272">
        <v>41609</v>
      </c>
      <c r="N19" s="120"/>
      <c r="O19" s="72"/>
      <c r="P19" s="97"/>
      <c r="Q19" s="97"/>
      <c r="R19" s="97"/>
      <c r="S19" s="97"/>
      <c r="T19" s="97"/>
      <c r="U19" s="97"/>
      <c r="V19" s="97"/>
      <c r="W19" s="97"/>
      <c r="X19" s="97"/>
      <c r="Y19" s="97"/>
      <c r="AJ19" s="120"/>
      <c r="AK19" s="128"/>
      <c r="AL19" s="121"/>
      <c r="AM19" s="122"/>
      <c r="AN19" s="122"/>
      <c r="AO19" s="122"/>
      <c r="AP19" s="73"/>
      <c r="AQ19" s="122"/>
      <c r="AR19" s="122"/>
      <c r="AS19" s="122"/>
      <c r="AT19" s="123"/>
      <c r="AU19" s="124"/>
    </row>
    <row r="20" spans="1:47" ht="12.75" customHeight="1" x14ac:dyDescent="0.25">
      <c r="A20" s="98">
        <v>2017</v>
      </c>
      <c r="B20" s="85"/>
      <c r="C20" s="125"/>
      <c r="D20" s="126">
        <f t="shared" ca="1" si="0"/>
        <v>0</v>
      </c>
      <c r="E20" s="94"/>
      <c r="F20" s="88"/>
      <c r="G20" s="95"/>
      <c r="H20" s="94"/>
      <c r="I20" s="88"/>
      <c r="J20" s="89"/>
      <c r="K20" s="127">
        <f>'KeyInputs&amp;Result'!D10</f>
        <v>0</v>
      </c>
      <c r="L20" s="120"/>
      <c r="M20" s="272">
        <v>41640</v>
      </c>
      <c r="N20" s="120"/>
      <c r="O20" s="72"/>
      <c r="P20" s="97"/>
      <c r="Q20" s="97"/>
      <c r="R20" s="97"/>
      <c r="S20" s="97"/>
      <c r="T20" s="97"/>
      <c r="U20" s="97"/>
      <c r="V20" s="97"/>
      <c r="W20" s="97"/>
      <c r="X20" s="97"/>
      <c r="Y20" s="97"/>
      <c r="AJ20" s="120"/>
      <c r="AK20" s="128"/>
      <c r="AL20" s="121"/>
      <c r="AM20" s="122"/>
      <c r="AN20" s="122"/>
      <c r="AO20" s="122"/>
      <c r="AP20" s="73"/>
      <c r="AQ20" s="122"/>
      <c r="AR20" s="122"/>
      <c r="AS20" s="122"/>
      <c r="AT20" s="123"/>
      <c r="AU20" s="124"/>
    </row>
    <row r="21" spans="1:47" ht="12.75" customHeight="1" x14ac:dyDescent="0.25">
      <c r="A21" s="98">
        <v>2018</v>
      </c>
      <c r="B21" s="85"/>
      <c r="C21" s="125"/>
      <c r="D21" s="126">
        <f t="shared" ca="1" si="0"/>
        <v>0</v>
      </c>
      <c r="E21" s="94"/>
      <c r="F21" s="88"/>
      <c r="G21" s="95"/>
      <c r="H21" s="94"/>
      <c r="I21" s="88"/>
      <c r="J21" s="89"/>
      <c r="K21" s="127">
        <f>'KeyInputs&amp;Result'!D11</f>
        <v>0</v>
      </c>
      <c r="L21" s="120"/>
      <c r="M21" s="272">
        <v>41671</v>
      </c>
      <c r="N21" s="120"/>
      <c r="O21" s="72"/>
      <c r="P21" s="97"/>
      <c r="Q21" s="97"/>
      <c r="R21" s="97"/>
      <c r="S21" s="97"/>
      <c r="T21" s="97"/>
      <c r="U21" s="97"/>
      <c r="V21" s="97"/>
      <c r="W21" s="97"/>
      <c r="X21" s="97"/>
      <c r="Y21" s="97"/>
      <c r="AJ21" s="120"/>
      <c r="AK21" s="128"/>
      <c r="AL21" s="121"/>
      <c r="AM21" s="122"/>
      <c r="AN21" s="122"/>
      <c r="AO21" s="122"/>
      <c r="AP21" s="73"/>
      <c r="AQ21" s="122"/>
      <c r="AR21" s="122"/>
      <c r="AS21" s="122"/>
      <c r="AT21" s="123"/>
      <c r="AU21" s="124"/>
    </row>
    <row r="22" spans="1:47" ht="12.75" customHeight="1" x14ac:dyDescent="0.25">
      <c r="A22" s="98">
        <v>2019</v>
      </c>
      <c r="B22" s="85"/>
      <c r="C22" s="125"/>
      <c r="D22" s="126">
        <f t="shared" ca="1" si="0"/>
        <v>0</v>
      </c>
      <c r="E22" s="94"/>
      <c r="F22" s="88"/>
      <c r="G22" s="95"/>
      <c r="H22" s="94"/>
      <c r="I22" s="88"/>
      <c r="J22" s="89"/>
      <c r="K22" s="127">
        <f>'KeyInputs&amp;Result'!D12</f>
        <v>0</v>
      </c>
      <c r="L22" s="120"/>
      <c r="M22" s="272">
        <v>41699</v>
      </c>
      <c r="N22" s="120"/>
      <c r="O22" s="72"/>
      <c r="P22" s="97"/>
      <c r="Q22" s="97"/>
      <c r="R22" s="97"/>
      <c r="S22" s="97"/>
      <c r="T22" s="97"/>
      <c r="U22" s="97"/>
      <c r="V22" s="97"/>
      <c r="W22" s="97"/>
      <c r="X22" s="97"/>
      <c r="Y22" s="97"/>
      <c r="AJ22" s="120"/>
      <c r="AK22" s="128"/>
      <c r="AL22" s="121"/>
      <c r="AM22" s="122"/>
      <c r="AN22" s="122"/>
      <c r="AO22" s="122"/>
      <c r="AP22" s="73"/>
      <c r="AQ22" s="122"/>
      <c r="AR22" s="122"/>
      <c r="AS22" s="122"/>
      <c r="AT22" s="123"/>
      <c r="AU22" s="124"/>
    </row>
    <row r="23" spans="1:47" ht="12.75" customHeight="1" x14ac:dyDescent="0.25">
      <c r="A23" s="98">
        <v>2020</v>
      </c>
      <c r="B23" s="85"/>
      <c r="C23" s="125"/>
      <c r="D23" s="126">
        <f t="shared" ca="1" si="0"/>
        <v>0</v>
      </c>
      <c r="E23" s="94"/>
      <c r="F23" s="88"/>
      <c r="G23" s="95"/>
      <c r="H23" s="94"/>
      <c r="I23" s="88"/>
      <c r="J23" s="89"/>
      <c r="K23" s="127">
        <f>'KeyInputs&amp;Result'!D13</f>
        <v>0</v>
      </c>
      <c r="L23" s="120"/>
      <c r="M23" s="272">
        <v>41730</v>
      </c>
      <c r="N23" s="120"/>
      <c r="O23" s="72"/>
      <c r="P23" s="97"/>
      <c r="Q23" s="97"/>
      <c r="R23" s="97"/>
      <c r="S23" s="97"/>
      <c r="T23" s="97"/>
      <c r="U23" s="97"/>
      <c r="V23" s="97"/>
      <c r="W23" s="97"/>
      <c r="X23" s="97"/>
      <c r="Y23" s="97"/>
      <c r="AJ23" s="120"/>
      <c r="AK23" s="128"/>
      <c r="AL23" s="121"/>
      <c r="AM23" s="122"/>
      <c r="AN23" s="122"/>
      <c r="AO23" s="122"/>
      <c r="AP23" s="73"/>
      <c r="AQ23" s="122"/>
      <c r="AR23" s="122"/>
      <c r="AS23" s="122"/>
      <c r="AT23" s="123"/>
      <c r="AU23" s="124"/>
    </row>
    <row r="24" spans="1:47" ht="12.75" customHeight="1" x14ac:dyDescent="0.25">
      <c r="A24" s="98">
        <v>2021</v>
      </c>
      <c r="B24" s="85"/>
      <c r="C24" s="125"/>
      <c r="D24" s="126">
        <f t="shared" ca="1" si="0"/>
        <v>0</v>
      </c>
      <c r="E24" s="94"/>
      <c r="F24" s="88"/>
      <c r="G24" s="95"/>
      <c r="H24" s="94"/>
      <c r="I24" s="88"/>
      <c r="J24" s="89"/>
      <c r="K24" s="127">
        <f>'KeyInputs&amp;Result'!D14</f>
        <v>0</v>
      </c>
      <c r="L24" s="120"/>
      <c r="M24" s="272">
        <v>41760</v>
      </c>
      <c r="N24" s="120"/>
      <c r="O24" s="72"/>
      <c r="P24" s="97"/>
      <c r="Q24" s="97"/>
      <c r="R24" s="97"/>
      <c r="S24" s="97"/>
      <c r="T24" s="97"/>
      <c r="U24" s="97"/>
      <c r="V24" s="97"/>
      <c r="W24" s="97"/>
      <c r="X24" s="97"/>
      <c r="Y24" s="97"/>
      <c r="AJ24" s="120"/>
      <c r="AK24" s="128"/>
      <c r="AL24" s="121"/>
      <c r="AM24" s="122"/>
      <c r="AN24" s="122"/>
      <c r="AO24" s="122"/>
      <c r="AP24" s="73"/>
      <c r="AQ24" s="122"/>
      <c r="AR24" s="122"/>
      <c r="AS24" s="122"/>
      <c r="AT24" s="123"/>
      <c r="AU24" s="124"/>
    </row>
    <row r="25" spans="1:47" ht="12.75" customHeight="1" x14ac:dyDescent="0.3">
      <c r="A25" s="98">
        <v>2022</v>
      </c>
      <c r="B25" s="85"/>
      <c r="C25" s="125"/>
      <c r="D25" s="126">
        <f t="shared" ca="1" si="0"/>
        <v>0</v>
      </c>
      <c r="E25" s="94"/>
      <c r="F25" s="88"/>
      <c r="G25" s="95"/>
      <c r="H25" s="94"/>
      <c r="I25" s="88"/>
      <c r="J25" s="89"/>
      <c r="K25" s="127">
        <f>'KeyInputs&amp;Result'!D15</f>
        <v>0</v>
      </c>
      <c r="L25" s="120"/>
      <c r="M25" s="272">
        <v>41791</v>
      </c>
      <c r="N25" s="120"/>
      <c r="O25" s="72"/>
      <c r="P25" s="97"/>
      <c r="Q25" s="97"/>
      <c r="R25" s="97"/>
      <c r="S25" s="97"/>
      <c r="T25" s="97"/>
      <c r="U25" s="97"/>
      <c r="V25" s="97"/>
      <c r="W25" s="97"/>
      <c r="X25" s="97"/>
      <c r="Y25" s="97"/>
      <c r="AJ25" s="120"/>
      <c r="AK25" s="128"/>
      <c r="AL25" s="121"/>
      <c r="AM25" s="122"/>
      <c r="AN25" s="122"/>
      <c r="AO25" s="122"/>
      <c r="AP25" s="73"/>
      <c r="AQ25" s="122"/>
      <c r="AR25" s="122"/>
      <c r="AS25" s="122"/>
      <c r="AT25" s="123"/>
      <c r="AU25" s="124"/>
    </row>
    <row r="26" spans="1:47" ht="12.75" customHeight="1" x14ac:dyDescent="0.3">
      <c r="A26" s="98">
        <v>2023</v>
      </c>
      <c r="B26" s="85"/>
      <c r="C26" s="125"/>
      <c r="D26" s="126">
        <f t="shared" ca="1" si="0"/>
        <v>0</v>
      </c>
      <c r="E26" s="94"/>
      <c r="F26" s="88"/>
      <c r="G26" s="95"/>
      <c r="H26" s="94"/>
      <c r="I26" s="88"/>
      <c r="J26" s="89"/>
      <c r="K26" s="127">
        <f>'KeyInputs&amp;Result'!D16</f>
        <v>0</v>
      </c>
      <c r="L26" s="120"/>
      <c r="M26" s="272">
        <v>41821</v>
      </c>
      <c r="N26" s="120"/>
      <c r="O26" s="72"/>
      <c r="P26" s="97"/>
      <c r="Q26" s="97"/>
      <c r="R26" s="97"/>
      <c r="S26" s="97"/>
      <c r="T26" s="97"/>
      <c r="U26" s="97"/>
      <c r="V26" s="97"/>
      <c r="W26" s="97"/>
      <c r="X26" s="97"/>
      <c r="Y26" s="97"/>
      <c r="AJ26" s="120"/>
      <c r="AK26" s="128"/>
      <c r="AL26" s="121"/>
      <c r="AM26" s="122"/>
      <c r="AN26" s="122"/>
      <c r="AO26" s="122"/>
      <c r="AP26" s="73"/>
      <c r="AQ26" s="122"/>
      <c r="AR26" s="122"/>
      <c r="AS26" s="122"/>
      <c r="AT26" s="123"/>
      <c r="AU26" s="124"/>
    </row>
    <row r="27" spans="1:47" ht="12.75" customHeight="1" x14ac:dyDescent="0.3">
      <c r="A27" s="98">
        <v>2024</v>
      </c>
      <c r="B27" s="85"/>
      <c r="C27" s="125"/>
      <c r="D27" s="126">
        <f t="shared" ca="1" si="0"/>
        <v>0</v>
      </c>
      <c r="E27" s="94"/>
      <c r="F27" s="88"/>
      <c r="G27" s="95"/>
      <c r="H27" s="94"/>
      <c r="I27" s="88"/>
      <c r="J27" s="89"/>
      <c r="K27" s="127">
        <f>'KeyInputs&amp;Result'!D17</f>
        <v>0</v>
      </c>
      <c r="L27" s="120"/>
      <c r="M27" s="272">
        <v>41852</v>
      </c>
      <c r="N27" s="120"/>
      <c r="O27" s="72"/>
      <c r="P27" s="97"/>
      <c r="Q27" s="97"/>
      <c r="R27" s="97"/>
      <c r="S27" s="97"/>
      <c r="T27" s="97"/>
      <c r="U27" s="97"/>
      <c r="V27" s="97"/>
      <c r="W27" s="97"/>
      <c r="X27" s="97"/>
      <c r="Y27" s="97"/>
      <c r="AJ27" s="120"/>
      <c r="AK27" s="128"/>
      <c r="AL27" s="121"/>
      <c r="AM27" s="122"/>
      <c r="AN27" s="122"/>
      <c r="AO27" s="122"/>
      <c r="AP27" s="73"/>
      <c r="AQ27" s="122"/>
      <c r="AR27" s="122"/>
      <c r="AS27" s="122"/>
      <c r="AT27" s="123"/>
      <c r="AU27" s="124"/>
    </row>
    <row r="28" spans="1:47" ht="14.4" x14ac:dyDescent="0.3">
      <c r="A28" s="98">
        <v>2025</v>
      </c>
      <c r="B28" s="85"/>
      <c r="C28" s="125"/>
      <c r="D28" s="126">
        <f t="shared" ca="1" si="0"/>
        <v>0</v>
      </c>
      <c r="E28" s="94"/>
      <c r="F28" s="88"/>
      <c r="G28" s="95"/>
      <c r="H28" s="94"/>
      <c r="I28" s="88"/>
      <c r="J28" s="89"/>
      <c r="K28" s="127">
        <f>'KeyInputs&amp;Result'!D18</f>
        <v>0</v>
      </c>
      <c r="L28" s="120"/>
      <c r="M28" s="272">
        <v>41883</v>
      </c>
      <c r="N28" s="120"/>
      <c r="O28" s="72"/>
      <c r="P28" s="97"/>
      <c r="Q28" s="97"/>
      <c r="R28" s="97"/>
      <c r="S28" s="97"/>
      <c r="T28" s="97"/>
      <c r="U28" s="97"/>
      <c r="V28" s="97"/>
      <c r="W28" s="97"/>
      <c r="X28" s="97"/>
      <c r="Y28" s="97"/>
      <c r="AJ28" s="120"/>
      <c r="AK28" s="128"/>
      <c r="AL28" s="121"/>
      <c r="AM28" s="122"/>
      <c r="AN28" s="122"/>
      <c r="AO28" s="122"/>
      <c r="AP28" s="73"/>
      <c r="AQ28" s="122"/>
      <c r="AR28" s="122"/>
      <c r="AS28" s="122"/>
      <c r="AT28" s="123"/>
      <c r="AU28" s="124"/>
    </row>
    <row r="29" spans="1:47" ht="14.4" x14ac:dyDescent="0.3">
      <c r="A29" s="98">
        <v>2026</v>
      </c>
      <c r="B29" s="85"/>
      <c r="C29" s="125"/>
      <c r="D29" s="126">
        <f t="shared" ca="1" si="0"/>
        <v>0</v>
      </c>
      <c r="E29" s="94"/>
      <c r="F29" s="88"/>
      <c r="G29" s="95"/>
      <c r="H29" s="94"/>
      <c r="I29" s="88"/>
      <c r="J29" s="89"/>
      <c r="K29" s="127">
        <f>'KeyInputs&amp;Result'!D19</f>
        <v>0</v>
      </c>
      <c r="L29" s="120"/>
      <c r="M29" s="272">
        <v>41913</v>
      </c>
      <c r="N29" s="120"/>
      <c r="O29" s="72"/>
      <c r="P29" s="97"/>
      <c r="Q29" s="97"/>
      <c r="R29" s="97"/>
      <c r="S29" s="97"/>
      <c r="T29" s="97"/>
      <c r="U29" s="97"/>
      <c r="V29" s="97"/>
      <c r="W29" s="97"/>
      <c r="X29" s="97"/>
      <c r="Y29" s="97"/>
      <c r="AJ29" s="120"/>
      <c r="AK29" s="128"/>
      <c r="AL29" s="121"/>
      <c r="AM29" s="122"/>
      <c r="AN29" s="122"/>
      <c r="AO29" s="122"/>
      <c r="AP29" s="73"/>
      <c r="AQ29" s="122"/>
      <c r="AR29" s="122"/>
      <c r="AS29" s="122"/>
      <c r="AT29" s="123"/>
      <c r="AU29" s="124"/>
    </row>
    <row r="30" spans="1:47" ht="14.4" x14ac:dyDescent="0.3">
      <c r="A30" s="98">
        <v>2027</v>
      </c>
      <c r="B30" s="85"/>
      <c r="C30" s="125"/>
      <c r="D30" s="126">
        <f t="shared" ca="1" si="0"/>
        <v>0</v>
      </c>
      <c r="E30" s="94"/>
      <c r="F30" s="88"/>
      <c r="G30" s="95"/>
      <c r="H30" s="94"/>
      <c r="I30" s="88"/>
      <c r="J30" s="89"/>
      <c r="K30" s="127">
        <f>'KeyInputs&amp;Result'!D20</f>
        <v>0</v>
      </c>
      <c r="L30" s="120"/>
      <c r="M30" s="272">
        <v>41944</v>
      </c>
      <c r="N30" s="120"/>
      <c r="O30" s="72"/>
      <c r="P30" s="97"/>
      <c r="Q30" s="97"/>
      <c r="R30" s="97"/>
      <c r="S30" s="97"/>
      <c r="T30" s="97"/>
      <c r="U30" s="97"/>
      <c r="V30" s="97"/>
      <c r="W30" s="97"/>
      <c r="X30" s="97"/>
      <c r="Y30" s="97"/>
      <c r="AJ30" s="120"/>
      <c r="AK30" s="128"/>
      <c r="AL30" s="121"/>
      <c r="AM30" s="122"/>
      <c r="AN30" s="122"/>
      <c r="AO30" s="122"/>
      <c r="AP30" s="73"/>
      <c r="AQ30" s="122"/>
      <c r="AR30" s="122"/>
      <c r="AS30" s="122"/>
      <c r="AT30" s="123"/>
      <c r="AU30" s="124"/>
    </row>
    <row r="31" spans="1:47" ht="14.4" x14ac:dyDescent="0.3">
      <c r="A31" s="84">
        <v>2028</v>
      </c>
      <c r="B31" s="90"/>
      <c r="C31" s="125"/>
      <c r="D31" s="126">
        <f t="shared" ca="1" si="0"/>
        <v>0</v>
      </c>
      <c r="E31" s="94"/>
      <c r="F31" s="88"/>
      <c r="G31" s="95"/>
      <c r="H31" s="94"/>
      <c r="I31" s="88"/>
      <c r="J31" s="89"/>
      <c r="K31" s="127">
        <f>'KeyInputs&amp;Result'!D21</f>
        <v>0</v>
      </c>
      <c r="L31" s="120"/>
      <c r="M31" s="272">
        <v>41974</v>
      </c>
      <c r="N31" s="120"/>
      <c r="O31" s="72"/>
      <c r="P31" s="97"/>
      <c r="Q31" s="97"/>
      <c r="R31" s="97"/>
      <c r="S31" s="97"/>
      <c r="T31" s="97"/>
      <c r="U31" s="97"/>
      <c r="V31" s="97"/>
      <c r="W31" s="97"/>
      <c r="X31" s="97"/>
      <c r="Y31" s="97"/>
      <c r="AJ31" s="120"/>
      <c r="AK31" s="128"/>
      <c r="AL31" s="121"/>
      <c r="AM31" s="122"/>
      <c r="AN31" s="122"/>
      <c r="AO31" s="122"/>
      <c r="AP31" s="73"/>
      <c r="AQ31" s="122"/>
      <c r="AR31" s="122"/>
      <c r="AS31" s="122"/>
      <c r="AT31" s="123"/>
      <c r="AU31" s="124"/>
    </row>
    <row r="32" spans="1:47" ht="15" thickBot="1" x14ac:dyDescent="0.35">
      <c r="A32" s="129">
        <v>2029</v>
      </c>
      <c r="B32" s="130"/>
      <c r="C32" s="131"/>
      <c r="D32" s="126">
        <f t="shared" ca="1" si="0"/>
        <v>0</v>
      </c>
      <c r="E32" s="132"/>
      <c r="F32" s="133"/>
      <c r="G32" s="134"/>
      <c r="H32" s="132"/>
      <c r="I32" s="133"/>
      <c r="J32" s="135"/>
      <c r="K32" s="127">
        <f>'KeyInputs&amp;Result'!D22</f>
        <v>0</v>
      </c>
      <c r="L32" s="120"/>
      <c r="M32" s="272">
        <v>42005</v>
      </c>
      <c r="N32" s="120"/>
      <c r="O32" s="72"/>
      <c r="P32" s="97"/>
      <c r="Q32" s="97"/>
      <c r="R32" s="97"/>
      <c r="S32" s="97"/>
      <c r="T32" s="97"/>
      <c r="U32" s="97"/>
      <c r="V32" s="97"/>
      <c r="W32" s="97"/>
      <c r="X32" s="97"/>
      <c r="Y32" s="97"/>
      <c r="AJ32" s="120"/>
      <c r="AK32" s="128"/>
      <c r="AL32" s="121"/>
      <c r="AM32" s="122"/>
      <c r="AN32" s="122"/>
      <c r="AO32" s="122"/>
      <c r="AP32" s="73"/>
      <c r="AQ32" s="122"/>
      <c r="AR32" s="122"/>
      <c r="AS32" s="122"/>
      <c r="AT32" s="123"/>
      <c r="AU32" s="124"/>
    </row>
    <row r="33" spans="1:47" x14ac:dyDescent="0.25">
      <c r="A33" s="136">
        <v>2030</v>
      </c>
      <c r="D33" s="126">
        <f t="shared" ca="1" si="0"/>
        <v>0</v>
      </c>
      <c r="F33" s="137"/>
      <c r="K33" s="127">
        <f>'KeyInputs&amp;Result'!D23</f>
        <v>0</v>
      </c>
      <c r="L33" s="72"/>
      <c r="M33" s="272">
        <v>42036</v>
      </c>
      <c r="N33" s="120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AJ33" s="73"/>
      <c r="AK33" s="73"/>
      <c r="AL33" s="121"/>
      <c r="AM33" s="122"/>
      <c r="AN33" s="122"/>
      <c r="AO33" s="122"/>
      <c r="AP33" s="73"/>
      <c r="AQ33" s="122"/>
      <c r="AR33" s="122"/>
      <c r="AS33" s="122"/>
      <c r="AT33" s="123"/>
      <c r="AU33" s="73"/>
    </row>
    <row r="34" spans="1:47" ht="13.8" thickBot="1" x14ac:dyDescent="0.3">
      <c r="A34" s="129">
        <v>2031</v>
      </c>
      <c r="D34" s="126">
        <f t="shared" ca="1" si="0"/>
        <v>0</v>
      </c>
      <c r="K34" s="127">
        <f>'KeyInputs&amp;Result'!D24</f>
        <v>0</v>
      </c>
      <c r="L34" s="138"/>
      <c r="M34" s="272">
        <v>42064</v>
      </c>
      <c r="N34" s="138"/>
      <c r="O34" s="72"/>
      <c r="P34" s="138"/>
      <c r="Q34" s="138"/>
      <c r="R34" s="138"/>
      <c r="S34" s="138"/>
      <c r="T34" s="138"/>
      <c r="U34" s="138"/>
      <c r="V34" s="138"/>
      <c r="W34" s="138"/>
      <c r="X34" s="138"/>
      <c r="Y34" s="72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</row>
    <row r="35" spans="1:47" x14ac:dyDescent="0.25">
      <c r="A35" s="136">
        <v>2032</v>
      </c>
      <c r="D35" s="126">
        <f t="shared" ca="1" si="0"/>
        <v>0</v>
      </c>
      <c r="K35" s="127">
        <f>'KeyInputs&amp;Result'!D25</f>
        <v>0</v>
      </c>
      <c r="L35" s="138"/>
      <c r="M35" s="272">
        <v>42095</v>
      </c>
      <c r="N35" s="139"/>
      <c r="O35" s="72"/>
      <c r="P35" s="138"/>
      <c r="Q35" s="138"/>
      <c r="R35" s="138"/>
      <c r="S35" s="138"/>
      <c r="T35" s="138"/>
      <c r="U35" s="138"/>
      <c r="V35" s="138"/>
      <c r="W35" s="138"/>
      <c r="X35" s="138"/>
      <c r="Y35" s="72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</row>
    <row r="36" spans="1:47" x14ac:dyDescent="0.25">
      <c r="K36" s="140"/>
      <c r="L36" s="72"/>
      <c r="M36" s="272">
        <v>42125</v>
      </c>
      <c r="N36" s="139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</row>
    <row r="37" spans="1:47" x14ac:dyDescent="0.25">
      <c r="L37" s="72"/>
      <c r="M37" s="272">
        <v>42156</v>
      </c>
      <c r="N37" s="139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</row>
    <row r="38" spans="1:47" x14ac:dyDescent="0.25">
      <c r="L38" s="72"/>
      <c r="M38" s="272">
        <v>42186</v>
      </c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</row>
    <row r="39" spans="1:47" x14ac:dyDescent="0.25">
      <c r="M39" s="272">
        <v>42217</v>
      </c>
    </row>
    <row r="40" spans="1:47" x14ac:dyDescent="0.25">
      <c r="M40" s="272">
        <v>42248</v>
      </c>
    </row>
    <row r="41" spans="1:47" x14ac:dyDescent="0.25">
      <c r="M41" s="272">
        <v>42278</v>
      </c>
    </row>
    <row r="42" spans="1:47" x14ac:dyDescent="0.25">
      <c r="M42" s="272">
        <v>42309</v>
      </c>
    </row>
    <row r="43" spans="1:47" x14ac:dyDescent="0.25">
      <c r="M43" s="272">
        <v>42339</v>
      </c>
    </row>
    <row r="44" spans="1:47" x14ac:dyDescent="0.25">
      <c r="M44" s="272">
        <v>42370</v>
      </c>
    </row>
    <row r="45" spans="1:47" x14ac:dyDescent="0.25">
      <c r="M45" s="272">
        <v>42401</v>
      </c>
    </row>
    <row r="46" spans="1:47" x14ac:dyDescent="0.25">
      <c r="M46" s="272">
        <v>42430</v>
      </c>
    </row>
    <row r="47" spans="1:47" x14ac:dyDescent="0.25">
      <c r="M47" s="272">
        <v>42461</v>
      </c>
    </row>
    <row r="48" spans="1:47" x14ac:dyDescent="0.25">
      <c r="M48" s="272">
        <v>42491</v>
      </c>
    </row>
    <row r="49" spans="13:13" x14ac:dyDescent="0.25">
      <c r="M49" s="272">
        <v>42522</v>
      </c>
    </row>
    <row r="50" spans="13:13" x14ac:dyDescent="0.25">
      <c r="M50" s="272">
        <v>42552</v>
      </c>
    </row>
    <row r="51" spans="13:13" x14ac:dyDescent="0.25">
      <c r="M51" s="272">
        <v>42583</v>
      </c>
    </row>
    <row r="52" spans="13:13" x14ac:dyDescent="0.25">
      <c r="M52" s="272">
        <v>42614</v>
      </c>
    </row>
    <row r="53" spans="13:13" x14ac:dyDescent="0.25">
      <c r="M53" s="272">
        <v>42644</v>
      </c>
    </row>
    <row r="54" spans="13:13" x14ac:dyDescent="0.25">
      <c r="M54" s="272">
        <v>42675</v>
      </c>
    </row>
    <row r="55" spans="13:13" x14ac:dyDescent="0.25">
      <c r="M55" s="272">
        <v>42705</v>
      </c>
    </row>
    <row r="56" spans="13:13" x14ac:dyDescent="0.25">
      <c r="M56" s="272">
        <v>42736</v>
      </c>
    </row>
    <row r="57" spans="13:13" x14ac:dyDescent="0.25">
      <c r="M57" s="272">
        <v>42767</v>
      </c>
    </row>
    <row r="58" spans="13:13" x14ac:dyDescent="0.25">
      <c r="M58" s="272">
        <v>42795</v>
      </c>
    </row>
    <row r="59" spans="13:13" x14ac:dyDescent="0.25">
      <c r="M59" s="272">
        <v>42826</v>
      </c>
    </row>
    <row r="60" spans="13:13" x14ac:dyDescent="0.25">
      <c r="M60" s="272">
        <v>42856</v>
      </c>
    </row>
    <row r="61" spans="13:13" x14ac:dyDescent="0.25">
      <c r="M61" s="272">
        <v>42887</v>
      </c>
    </row>
    <row r="62" spans="13:13" x14ac:dyDescent="0.25">
      <c r="M62" s="272">
        <v>42917</v>
      </c>
    </row>
    <row r="63" spans="13:13" x14ac:dyDescent="0.25">
      <c r="M63" s="272">
        <v>42948</v>
      </c>
    </row>
    <row r="64" spans="13:13" x14ac:dyDescent="0.25">
      <c r="M64" s="272">
        <v>42979</v>
      </c>
    </row>
    <row r="65" spans="13:13" x14ac:dyDescent="0.25">
      <c r="M65" s="272">
        <v>43009</v>
      </c>
    </row>
    <row r="66" spans="13:13" x14ac:dyDescent="0.25">
      <c r="M66" s="272">
        <v>43040</v>
      </c>
    </row>
    <row r="67" spans="13:13" x14ac:dyDescent="0.25">
      <c r="M67" s="272">
        <v>43070</v>
      </c>
    </row>
    <row r="68" spans="13:13" x14ac:dyDescent="0.25">
      <c r="M68" s="272">
        <v>43101</v>
      </c>
    </row>
    <row r="69" spans="13:13" x14ac:dyDescent="0.25">
      <c r="M69" s="272">
        <v>43132</v>
      </c>
    </row>
    <row r="70" spans="13:13" x14ac:dyDescent="0.25">
      <c r="M70" s="272">
        <v>43160</v>
      </c>
    </row>
    <row r="71" spans="13:13" x14ac:dyDescent="0.25">
      <c r="M71" s="272">
        <v>43191</v>
      </c>
    </row>
    <row r="72" spans="13:13" x14ac:dyDescent="0.25">
      <c r="M72" s="272">
        <v>43221</v>
      </c>
    </row>
    <row r="73" spans="13:13" x14ac:dyDescent="0.25">
      <c r="M73" s="272">
        <v>43252</v>
      </c>
    </row>
    <row r="74" spans="13:13" x14ac:dyDescent="0.25">
      <c r="M74" s="272">
        <v>43282</v>
      </c>
    </row>
    <row r="75" spans="13:13" x14ac:dyDescent="0.25">
      <c r="M75" s="272">
        <v>43313</v>
      </c>
    </row>
    <row r="76" spans="13:13" x14ac:dyDescent="0.25">
      <c r="M76" s="272">
        <v>43344</v>
      </c>
    </row>
    <row r="77" spans="13:13" x14ac:dyDescent="0.25">
      <c r="M77" s="272">
        <v>43374</v>
      </c>
    </row>
    <row r="78" spans="13:13" x14ac:dyDescent="0.25">
      <c r="M78" s="272">
        <v>43405</v>
      </c>
    </row>
    <row r="79" spans="13:13" x14ac:dyDescent="0.25">
      <c r="M79" s="272">
        <v>43435</v>
      </c>
    </row>
    <row r="80" spans="13:13" x14ac:dyDescent="0.25">
      <c r="M80" s="272">
        <v>43466</v>
      </c>
    </row>
    <row r="81" spans="13:13" x14ac:dyDescent="0.25">
      <c r="M81" s="272">
        <v>43497</v>
      </c>
    </row>
    <row r="82" spans="13:13" x14ac:dyDescent="0.25">
      <c r="M82" s="272">
        <v>43525</v>
      </c>
    </row>
    <row r="83" spans="13:13" x14ac:dyDescent="0.25">
      <c r="M83" s="272">
        <v>43556</v>
      </c>
    </row>
    <row r="84" spans="13:13" x14ac:dyDescent="0.25">
      <c r="M84" s="272">
        <v>43586</v>
      </c>
    </row>
    <row r="85" spans="13:13" x14ac:dyDescent="0.25">
      <c r="M85" s="272">
        <v>43617</v>
      </c>
    </row>
    <row r="86" spans="13:13" x14ac:dyDescent="0.25">
      <c r="M86" s="272">
        <v>43647</v>
      </c>
    </row>
    <row r="87" spans="13:13" x14ac:dyDescent="0.25">
      <c r="M87" s="272">
        <v>43678</v>
      </c>
    </row>
    <row r="88" spans="13:13" x14ac:dyDescent="0.25">
      <c r="M88" s="272">
        <v>43709</v>
      </c>
    </row>
    <row r="89" spans="13:13" x14ac:dyDescent="0.25">
      <c r="M89" s="272">
        <v>43739</v>
      </c>
    </row>
    <row r="90" spans="13:13" x14ac:dyDescent="0.25">
      <c r="M90" s="272">
        <v>43770</v>
      </c>
    </row>
    <row r="91" spans="13:13" x14ac:dyDescent="0.25">
      <c r="M91" s="272">
        <v>43800</v>
      </c>
    </row>
    <row r="92" spans="13:13" x14ac:dyDescent="0.25">
      <c r="M92" s="272">
        <v>43831</v>
      </c>
    </row>
    <row r="93" spans="13:13" x14ac:dyDescent="0.25">
      <c r="M93" s="272">
        <v>43862</v>
      </c>
    </row>
    <row r="94" spans="13:13" x14ac:dyDescent="0.25">
      <c r="M94" s="272">
        <v>43891</v>
      </c>
    </row>
    <row r="95" spans="13:13" x14ac:dyDescent="0.25">
      <c r="M95" s="272">
        <v>43922</v>
      </c>
    </row>
    <row r="96" spans="13:13" x14ac:dyDescent="0.25">
      <c r="M96" s="272">
        <v>43952</v>
      </c>
    </row>
    <row r="97" spans="13:13" x14ac:dyDescent="0.25">
      <c r="M97" s="272">
        <v>43983</v>
      </c>
    </row>
    <row r="98" spans="13:13" x14ac:dyDescent="0.25">
      <c r="M98" s="272">
        <v>44013</v>
      </c>
    </row>
    <row r="99" spans="13:13" x14ac:dyDescent="0.25">
      <c r="M99" s="272">
        <v>44044</v>
      </c>
    </row>
    <row r="100" spans="13:13" x14ac:dyDescent="0.25">
      <c r="M100" s="272">
        <v>44075</v>
      </c>
    </row>
    <row r="101" spans="13:13" x14ac:dyDescent="0.25">
      <c r="M101" s="272">
        <v>44105</v>
      </c>
    </row>
    <row r="102" spans="13:13" x14ac:dyDescent="0.25">
      <c r="M102" s="272">
        <v>44136</v>
      </c>
    </row>
    <row r="103" spans="13:13" x14ac:dyDescent="0.25">
      <c r="M103" s="272">
        <v>44166</v>
      </c>
    </row>
    <row r="104" spans="13:13" x14ac:dyDescent="0.25">
      <c r="M104" s="272">
        <v>44197</v>
      </c>
    </row>
    <row r="105" spans="13:13" x14ac:dyDescent="0.25">
      <c r="M105" s="272">
        <v>44228</v>
      </c>
    </row>
    <row r="106" spans="13:13" x14ac:dyDescent="0.25">
      <c r="M106" s="272">
        <v>44256</v>
      </c>
    </row>
    <row r="107" spans="13:13" x14ac:dyDescent="0.25">
      <c r="M107" s="272">
        <v>44287</v>
      </c>
    </row>
    <row r="108" spans="13:13" x14ac:dyDescent="0.25">
      <c r="M108" s="272">
        <v>44317</v>
      </c>
    </row>
    <row r="109" spans="13:13" x14ac:dyDescent="0.25">
      <c r="M109" s="272">
        <v>44348</v>
      </c>
    </row>
    <row r="110" spans="13:13" x14ac:dyDescent="0.25">
      <c r="M110" s="272">
        <v>44378</v>
      </c>
    </row>
    <row r="111" spans="13:13" x14ac:dyDescent="0.25">
      <c r="M111" s="272">
        <v>44409</v>
      </c>
    </row>
    <row r="112" spans="13:13" x14ac:dyDescent="0.25">
      <c r="M112" s="272">
        <v>44440</v>
      </c>
    </row>
    <row r="113" spans="13:13" x14ac:dyDescent="0.25">
      <c r="M113" s="272">
        <v>44470</v>
      </c>
    </row>
    <row r="114" spans="13:13" x14ac:dyDescent="0.25">
      <c r="M114" s="272">
        <v>44501</v>
      </c>
    </row>
    <row r="115" spans="13:13" x14ac:dyDescent="0.25">
      <c r="M115" s="272">
        <v>44531</v>
      </c>
    </row>
    <row r="116" spans="13:13" x14ac:dyDescent="0.25">
      <c r="M116" s="272">
        <v>44562</v>
      </c>
    </row>
    <row r="117" spans="13:13" x14ac:dyDescent="0.25">
      <c r="M117" s="272">
        <v>44593</v>
      </c>
    </row>
    <row r="118" spans="13:13" x14ac:dyDescent="0.25">
      <c r="M118" s="272">
        <v>44621</v>
      </c>
    </row>
    <row r="119" spans="13:13" x14ac:dyDescent="0.25">
      <c r="M119" s="272">
        <v>44652</v>
      </c>
    </row>
    <row r="120" spans="13:13" x14ac:dyDescent="0.25">
      <c r="M120" s="272">
        <v>44682</v>
      </c>
    </row>
    <row r="121" spans="13:13" x14ac:dyDescent="0.25">
      <c r="M121" s="272">
        <v>44713</v>
      </c>
    </row>
    <row r="122" spans="13:13" x14ac:dyDescent="0.25">
      <c r="M122" s="272">
        <v>44743</v>
      </c>
    </row>
    <row r="123" spans="13:13" x14ac:dyDescent="0.25">
      <c r="M123" s="272">
        <v>44774</v>
      </c>
    </row>
    <row r="124" spans="13:13" x14ac:dyDescent="0.25">
      <c r="M124" s="272">
        <v>44805</v>
      </c>
    </row>
    <row r="125" spans="13:13" x14ac:dyDescent="0.25">
      <c r="M125" s="272">
        <v>44835</v>
      </c>
    </row>
    <row r="126" spans="13:13" x14ac:dyDescent="0.25">
      <c r="M126" s="272">
        <v>44866</v>
      </c>
    </row>
    <row r="127" spans="13:13" x14ac:dyDescent="0.25">
      <c r="M127" s="272">
        <v>44896</v>
      </c>
    </row>
    <row r="128" spans="13:13" x14ac:dyDescent="0.25">
      <c r="M128" s="272">
        <v>44927</v>
      </c>
    </row>
    <row r="129" spans="13:13" x14ac:dyDescent="0.25">
      <c r="M129" s="272">
        <v>44958</v>
      </c>
    </row>
    <row r="130" spans="13:13" x14ac:dyDescent="0.25">
      <c r="M130" s="272">
        <v>44986</v>
      </c>
    </row>
    <row r="131" spans="13:13" x14ac:dyDescent="0.25">
      <c r="M131" s="272">
        <v>45017</v>
      </c>
    </row>
    <row r="132" spans="13:13" x14ac:dyDescent="0.25">
      <c r="M132" s="272">
        <v>45047</v>
      </c>
    </row>
    <row r="133" spans="13:13" x14ac:dyDescent="0.25">
      <c r="M133" s="272">
        <v>45078</v>
      </c>
    </row>
    <row r="134" spans="13:13" x14ac:dyDescent="0.25">
      <c r="M134" s="272">
        <v>45108</v>
      </c>
    </row>
    <row r="135" spans="13:13" x14ac:dyDescent="0.25">
      <c r="M135" s="272">
        <v>45139</v>
      </c>
    </row>
    <row r="136" spans="13:13" x14ac:dyDescent="0.25">
      <c r="M136" s="272">
        <v>45170</v>
      </c>
    </row>
    <row r="137" spans="13:13" x14ac:dyDescent="0.25">
      <c r="M137" s="272">
        <v>45200</v>
      </c>
    </row>
    <row r="138" spans="13:13" x14ac:dyDescent="0.25">
      <c r="M138" s="272">
        <v>45231</v>
      </c>
    </row>
    <row r="139" spans="13:13" x14ac:dyDescent="0.25">
      <c r="M139" s="272">
        <v>45261</v>
      </c>
    </row>
    <row r="140" spans="13:13" x14ac:dyDescent="0.25">
      <c r="M140" s="272">
        <v>45292</v>
      </c>
    </row>
    <row r="141" spans="13:13" x14ac:dyDescent="0.25">
      <c r="M141" s="272">
        <v>45323</v>
      </c>
    </row>
    <row r="142" spans="13:13" x14ac:dyDescent="0.25">
      <c r="M142" s="272">
        <v>45352</v>
      </c>
    </row>
    <row r="143" spans="13:13" x14ac:dyDescent="0.25">
      <c r="M143" s="272">
        <v>45383</v>
      </c>
    </row>
    <row r="144" spans="13:13" x14ac:dyDescent="0.25">
      <c r="M144" s="272">
        <v>45413</v>
      </c>
    </row>
    <row r="145" spans="13:13" x14ac:dyDescent="0.25">
      <c r="M145" s="272">
        <v>45444</v>
      </c>
    </row>
    <row r="146" spans="13:13" x14ac:dyDescent="0.25">
      <c r="M146" s="272">
        <v>45474</v>
      </c>
    </row>
    <row r="147" spans="13:13" x14ac:dyDescent="0.25">
      <c r="M147" s="272">
        <v>45505</v>
      </c>
    </row>
    <row r="148" spans="13:13" x14ac:dyDescent="0.25">
      <c r="M148" s="272">
        <v>45536</v>
      </c>
    </row>
    <row r="149" spans="13:13" x14ac:dyDescent="0.25">
      <c r="M149" s="272">
        <v>45566</v>
      </c>
    </row>
    <row r="150" spans="13:13" x14ac:dyDescent="0.25">
      <c r="M150" s="272">
        <v>45597</v>
      </c>
    </row>
    <row r="151" spans="13:13" x14ac:dyDescent="0.25">
      <c r="M151" s="272">
        <v>45627</v>
      </c>
    </row>
    <row r="152" spans="13:13" x14ac:dyDescent="0.25">
      <c r="M152" s="272">
        <v>45658</v>
      </c>
    </row>
    <row r="153" spans="13:13" x14ac:dyDescent="0.25">
      <c r="M153" s="272">
        <v>45689</v>
      </c>
    </row>
    <row r="154" spans="13:13" x14ac:dyDescent="0.25">
      <c r="M154" s="272">
        <v>45717</v>
      </c>
    </row>
    <row r="155" spans="13:13" x14ac:dyDescent="0.25">
      <c r="M155" s="272">
        <v>45748</v>
      </c>
    </row>
    <row r="156" spans="13:13" x14ac:dyDescent="0.25">
      <c r="M156" s="272">
        <v>45778</v>
      </c>
    </row>
    <row r="157" spans="13:13" x14ac:dyDescent="0.25">
      <c r="M157" s="272">
        <v>45809</v>
      </c>
    </row>
    <row r="158" spans="13:13" x14ac:dyDescent="0.25">
      <c r="M158" s="272">
        <v>45839</v>
      </c>
    </row>
    <row r="159" spans="13:13" x14ac:dyDescent="0.25">
      <c r="M159" s="272">
        <v>45870</v>
      </c>
    </row>
    <row r="160" spans="13:13" x14ac:dyDescent="0.25">
      <c r="M160" s="272">
        <v>45901</v>
      </c>
    </row>
    <row r="161" spans="13:13" x14ac:dyDescent="0.25">
      <c r="M161" s="272">
        <v>45931</v>
      </c>
    </row>
    <row r="162" spans="13:13" x14ac:dyDescent="0.25">
      <c r="M162" s="272">
        <v>45962</v>
      </c>
    </row>
    <row r="163" spans="13:13" x14ac:dyDescent="0.25">
      <c r="M163" s="272">
        <v>45992</v>
      </c>
    </row>
    <row r="164" spans="13:13" x14ac:dyDescent="0.25">
      <c r="M164" s="272">
        <v>46023</v>
      </c>
    </row>
    <row r="165" spans="13:13" x14ac:dyDescent="0.25">
      <c r="M165" s="272">
        <v>46054</v>
      </c>
    </row>
    <row r="166" spans="13:13" x14ac:dyDescent="0.25">
      <c r="M166" s="272">
        <v>46082</v>
      </c>
    </row>
    <row r="167" spans="13:13" x14ac:dyDescent="0.25">
      <c r="M167" s="272">
        <v>46113</v>
      </c>
    </row>
    <row r="168" spans="13:13" x14ac:dyDescent="0.25">
      <c r="M168" s="272">
        <v>46143</v>
      </c>
    </row>
    <row r="169" spans="13:13" x14ac:dyDescent="0.25">
      <c r="M169" s="272">
        <v>46174</v>
      </c>
    </row>
    <row r="170" spans="13:13" x14ac:dyDescent="0.25">
      <c r="M170" s="272">
        <v>46204</v>
      </c>
    </row>
    <row r="171" spans="13:13" x14ac:dyDescent="0.25">
      <c r="M171" s="272">
        <v>46235</v>
      </c>
    </row>
    <row r="172" spans="13:13" x14ac:dyDescent="0.25">
      <c r="M172" s="272">
        <v>46266</v>
      </c>
    </row>
    <row r="173" spans="13:13" x14ac:dyDescent="0.25">
      <c r="M173" s="272">
        <v>46296</v>
      </c>
    </row>
    <row r="174" spans="13:13" x14ac:dyDescent="0.25">
      <c r="M174" s="272">
        <v>46327</v>
      </c>
    </row>
    <row r="175" spans="13:13" x14ac:dyDescent="0.25">
      <c r="M175" s="272">
        <v>46357</v>
      </c>
    </row>
    <row r="176" spans="13:13" x14ac:dyDescent="0.25">
      <c r="M176" s="272">
        <v>46388</v>
      </c>
    </row>
    <row r="177" spans="13:13" x14ac:dyDescent="0.25">
      <c r="M177" s="272">
        <v>46419</v>
      </c>
    </row>
    <row r="178" spans="13:13" x14ac:dyDescent="0.25">
      <c r="M178" s="272">
        <v>46447</v>
      </c>
    </row>
    <row r="179" spans="13:13" x14ac:dyDescent="0.25">
      <c r="M179" s="272">
        <v>46478</v>
      </c>
    </row>
    <row r="180" spans="13:13" x14ac:dyDescent="0.25">
      <c r="M180" s="272">
        <v>46508</v>
      </c>
    </row>
    <row r="181" spans="13:13" x14ac:dyDescent="0.25">
      <c r="M181" s="272">
        <v>46539</v>
      </c>
    </row>
    <row r="182" spans="13:13" x14ac:dyDescent="0.25">
      <c r="M182" s="272">
        <v>46569</v>
      </c>
    </row>
    <row r="183" spans="13:13" x14ac:dyDescent="0.25">
      <c r="M183" s="272">
        <v>46600</v>
      </c>
    </row>
    <row r="184" spans="13:13" x14ac:dyDescent="0.25">
      <c r="M184" s="272">
        <v>46631</v>
      </c>
    </row>
    <row r="185" spans="13:13" x14ac:dyDescent="0.25">
      <c r="M185" s="272">
        <v>46661</v>
      </c>
    </row>
    <row r="186" spans="13:13" x14ac:dyDescent="0.25">
      <c r="M186" s="272">
        <v>46692</v>
      </c>
    </row>
    <row r="187" spans="13:13" x14ac:dyDescent="0.25">
      <c r="M187" s="272">
        <v>46722</v>
      </c>
    </row>
    <row r="188" spans="13:13" x14ac:dyDescent="0.25">
      <c r="M188" s="272">
        <v>46753</v>
      </c>
    </row>
    <row r="189" spans="13:13" x14ac:dyDescent="0.25">
      <c r="M189" s="272">
        <v>46784</v>
      </c>
    </row>
    <row r="190" spans="13:13" x14ac:dyDescent="0.25">
      <c r="M190" s="272">
        <v>46813</v>
      </c>
    </row>
    <row r="191" spans="13:13" x14ac:dyDescent="0.25">
      <c r="M191" s="272">
        <v>46844</v>
      </c>
    </row>
    <row r="192" spans="13:13" x14ac:dyDescent="0.25">
      <c r="M192" s="272">
        <v>46874</v>
      </c>
    </row>
    <row r="193" spans="13:13" x14ac:dyDescent="0.25">
      <c r="M193" s="272">
        <v>46905</v>
      </c>
    </row>
    <row r="194" spans="13:13" x14ac:dyDescent="0.25">
      <c r="M194" s="272">
        <v>46935</v>
      </c>
    </row>
    <row r="195" spans="13:13" x14ac:dyDescent="0.25">
      <c r="M195" s="272">
        <v>46966</v>
      </c>
    </row>
    <row r="196" spans="13:13" x14ac:dyDescent="0.25">
      <c r="M196" s="272">
        <v>46997</v>
      </c>
    </row>
    <row r="197" spans="13:13" x14ac:dyDescent="0.25">
      <c r="M197" s="272">
        <v>47027</v>
      </c>
    </row>
    <row r="198" spans="13:13" x14ac:dyDescent="0.25">
      <c r="M198" s="272">
        <v>47058</v>
      </c>
    </row>
    <row r="199" spans="13:13" x14ac:dyDescent="0.25">
      <c r="M199" s="272">
        <v>47088</v>
      </c>
    </row>
    <row r="200" spans="13:13" x14ac:dyDescent="0.25">
      <c r="M200" s="272">
        <v>47119</v>
      </c>
    </row>
    <row r="201" spans="13:13" x14ac:dyDescent="0.25">
      <c r="M201" s="272">
        <v>47150</v>
      </c>
    </row>
    <row r="202" spans="13:13" x14ac:dyDescent="0.25">
      <c r="M202" s="272">
        <v>47178</v>
      </c>
    </row>
    <row r="203" spans="13:13" x14ac:dyDescent="0.25">
      <c r="M203" s="272">
        <v>47209</v>
      </c>
    </row>
    <row r="204" spans="13:13" x14ac:dyDescent="0.25">
      <c r="M204" s="272">
        <v>47239</v>
      </c>
    </row>
    <row r="205" spans="13:13" x14ac:dyDescent="0.25">
      <c r="M205" s="272">
        <v>47270</v>
      </c>
    </row>
    <row r="206" spans="13:13" x14ac:dyDescent="0.25">
      <c r="M206" s="272">
        <v>47300</v>
      </c>
    </row>
    <row r="207" spans="13:13" x14ac:dyDescent="0.25">
      <c r="M207" s="272">
        <v>47331</v>
      </c>
    </row>
    <row r="208" spans="13:13" x14ac:dyDescent="0.25">
      <c r="M208" s="272">
        <v>47362</v>
      </c>
    </row>
    <row r="209" spans="13:13" x14ac:dyDescent="0.25">
      <c r="M209" s="272">
        <v>47392</v>
      </c>
    </row>
    <row r="210" spans="13:13" x14ac:dyDescent="0.25">
      <c r="M210" s="272">
        <v>47423</v>
      </c>
    </row>
    <row r="211" spans="13:13" x14ac:dyDescent="0.25">
      <c r="M211" s="272">
        <v>47453</v>
      </c>
    </row>
    <row r="212" spans="13:13" x14ac:dyDescent="0.25">
      <c r="M212" s="272">
        <v>47484</v>
      </c>
    </row>
    <row r="213" spans="13:13" x14ac:dyDescent="0.25">
      <c r="M213" s="272">
        <v>47515</v>
      </c>
    </row>
    <row r="214" spans="13:13" x14ac:dyDescent="0.25">
      <c r="M214" s="272">
        <v>47543</v>
      </c>
    </row>
    <row r="215" spans="13:13" x14ac:dyDescent="0.25">
      <c r="M215" s="272">
        <v>47574</v>
      </c>
    </row>
    <row r="216" spans="13:13" x14ac:dyDescent="0.25">
      <c r="M216" s="272">
        <v>47604</v>
      </c>
    </row>
    <row r="217" spans="13:13" x14ac:dyDescent="0.25">
      <c r="M217" s="272">
        <v>47635</v>
      </c>
    </row>
    <row r="218" spans="13:13" x14ac:dyDescent="0.25">
      <c r="M218" s="272">
        <v>47665</v>
      </c>
    </row>
    <row r="219" spans="13:13" x14ac:dyDescent="0.25">
      <c r="M219" s="272">
        <v>47696</v>
      </c>
    </row>
    <row r="220" spans="13:13" x14ac:dyDescent="0.25">
      <c r="M220" s="272">
        <v>47727</v>
      </c>
    </row>
    <row r="221" spans="13:13" x14ac:dyDescent="0.25">
      <c r="M221" s="272">
        <v>47757</v>
      </c>
    </row>
    <row r="222" spans="13:13" x14ac:dyDescent="0.25">
      <c r="M222" s="272">
        <v>47788</v>
      </c>
    </row>
    <row r="223" spans="13:13" x14ac:dyDescent="0.25">
      <c r="M223" s="272">
        <v>47818</v>
      </c>
    </row>
    <row r="224" spans="13:13" x14ac:dyDescent="0.25">
      <c r="M224" s="272">
        <v>47849</v>
      </c>
    </row>
    <row r="225" spans="13:13" x14ac:dyDescent="0.25">
      <c r="M225" s="272">
        <v>47880</v>
      </c>
    </row>
    <row r="226" spans="13:13" x14ac:dyDescent="0.25">
      <c r="M226" s="272">
        <v>47908</v>
      </c>
    </row>
    <row r="227" spans="13:13" x14ac:dyDescent="0.25">
      <c r="M227" s="272">
        <v>47939</v>
      </c>
    </row>
    <row r="228" spans="13:13" x14ac:dyDescent="0.25">
      <c r="M228" s="272">
        <v>47969</v>
      </c>
    </row>
    <row r="229" spans="13:13" x14ac:dyDescent="0.25">
      <c r="M229" s="272">
        <v>48000</v>
      </c>
    </row>
    <row r="230" spans="13:13" x14ac:dyDescent="0.25">
      <c r="M230" s="272">
        <v>48030</v>
      </c>
    </row>
    <row r="231" spans="13:13" x14ac:dyDescent="0.25">
      <c r="M231" s="272">
        <v>48061</v>
      </c>
    </row>
    <row r="232" spans="13:13" x14ac:dyDescent="0.25">
      <c r="M232" s="272">
        <v>48092</v>
      </c>
    </row>
    <row r="233" spans="13:13" x14ac:dyDescent="0.25">
      <c r="M233" s="272">
        <v>48122</v>
      </c>
    </row>
    <row r="234" spans="13:13" x14ac:dyDescent="0.25">
      <c r="M234" s="272">
        <v>48153</v>
      </c>
    </row>
    <row r="235" spans="13:13" x14ac:dyDescent="0.25">
      <c r="M235" s="272">
        <v>48183</v>
      </c>
    </row>
    <row r="236" spans="13:13" x14ac:dyDescent="0.25">
      <c r="M236" s="272">
        <v>48214</v>
      </c>
    </row>
    <row r="237" spans="13:13" x14ac:dyDescent="0.25">
      <c r="M237" s="272">
        <v>48245</v>
      </c>
    </row>
    <row r="238" spans="13:13" x14ac:dyDescent="0.25">
      <c r="M238" s="272">
        <v>48274</v>
      </c>
    </row>
    <row r="239" spans="13:13" x14ac:dyDescent="0.25">
      <c r="M239" s="272">
        <v>48305</v>
      </c>
    </row>
    <row r="240" spans="13:13" x14ac:dyDescent="0.25">
      <c r="M240" s="272">
        <v>48335</v>
      </c>
    </row>
    <row r="241" spans="13:13" x14ac:dyDescent="0.25">
      <c r="M241" s="272">
        <v>48366</v>
      </c>
    </row>
    <row r="242" spans="13:13" x14ac:dyDescent="0.25">
      <c r="M242" s="272">
        <v>48396</v>
      </c>
    </row>
    <row r="243" spans="13:13" x14ac:dyDescent="0.25">
      <c r="M243" s="272">
        <v>48427</v>
      </c>
    </row>
    <row r="244" spans="13:13" x14ac:dyDescent="0.25">
      <c r="M244" s="272">
        <v>48458</v>
      </c>
    </row>
    <row r="245" spans="13:13" x14ac:dyDescent="0.25">
      <c r="M245" s="272">
        <v>48488</v>
      </c>
    </row>
    <row r="246" spans="13:13" x14ac:dyDescent="0.25">
      <c r="M246" s="272">
        <v>48519</v>
      </c>
    </row>
    <row r="247" spans="13:13" x14ac:dyDescent="0.25">
      <c r="M247" s="272">
        <v>48549</v>
      </c>
    </row>
  </sheetData>
  <mergeCells count="16">
    <mergeCell ref="AL4:AO4"/>
    <mergeCell ref="AP4:AS4"/>
    <mergeCell ref="P5:Q5"/>
    <mergeCell ref="R5:S5"/>
    <mergeCell ref="T5:U5"/>
    <mergeCell ref="V5:W5"/>
    <mergeCell ref="X5:Y5"/>
    <mergeCell ref="AL5:AL6"/>
    <mergeCell ref="AM5:AM6"/>
    <mergeCell ref="AP5:AP6"/>
    <mergeCell ref="AQ5:AQ6"/>
    <mergeCell ref="E4:G4"/>
    <mergeCell ref="H4:J4"/>
    <mergeCell ref="P4:Q4"/>
    <mergeCell ref="R4:S4"/>
    <mergeCell ref="T4:U4"/>
  </mergeCells>
  <dataValidations count="1">
    <dataValidation type="list" allowBlank="1" showInputMessage="1" showErrorMessage="1" sqref="D5">
      <formula1>$H$5:$K$5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workbookViewId="0">
      <selection activeCell="B23" sqref="B23"/>
    </sheetView>
  </sheetViews>
  <sheetFormatPr defaultColWidth="9.109375" defaultRowHeight="14.4" x14ac:dyDescent="0.3"/>
  <cols>
    <col min="1" max="251" width="9.109375" style="42"/>
    <col min="252" max="252" width="12" style="42" customWidth="1"/>
    <col min="253" max="16384" width="9.109375" style="42"/>
  </cols>
  <sheetData>
    <row r="1" spans="1:9" ht="15.75" thickBot="1" x14ac:dyDescent="0.3">
      <c r="F1" s="44"/>
      <c r="G1" s="45"/>
    </row>
    <row r="2" spans="1:9" ht="15" x14ac:dyDescent="0.25">
      <c r="B2" t="s">
        <v>45</v>
      </c>
      <c r="D2" s="43" t="s">
        <v>46</v>
      </c>
      <c r="E2" s="46" t="s">
        <v>45</v>
      </c>
      <c r="G2" s="43" t="s">
        <v>47</v>
      </c>
      <c r="H2" s="44"/>
      <c r="I2" s="45"/>
    </row>
    <row r="3" spans="1:9" ht="15" x14ac:dyDescent="0.25">
      <c r="B3" t="s">
        <v>48</v>
      </c>
      <c r="D3" s="51"/>
      <c r="E3" s="12" t="s">
        <v>48</v>
      </c>
      <c r="G3" s="48" t="s">
        <v>49</v>
      </c>
      <c r="H3" s="49"/>
      <c r="I3" s="50"/>
    </row>
    <row r="4" spans="1:9" ht="15" x14ac:dyDescent="0.25">
      <c r="A4" s="42">
        <v>2013</v>
      </c>
      <c r="B4" s="53">
        <f>'KeyInputs&amp;Result'!C6</f>
        <v>4.8574740760100674</v>
      </c>
      <c r="D4" s="54">
        <v>41275</v>
      </c>
      <c r="E4" s="306">
        <f>B$4*$H$4</f>
        <v>5.0575997708578662</v>
      </c>
      <c r="F4"/>
      <c r="G4" s="55">
        <v>5.2376385591728729</v>
      </c>
      <c r="H4" s="56">
        <f>G4/$G$16</f>
        <v>1.0411995394553257</v>
      </c>
      <c r="I4" s="52" t="s">
        <v>117</v>
      </c>
    </row>
    <row r="5" spans="1:9" ht="15" x14ac:dyDescent="0.25">
      <c r="A5" s="42">
        <v>2014</v>
      </c>
      <c r="B5" s="53">
        <f>'KeyInputs&amp;Result'!C7</f>
        <v>4.9151008881467142</v>
      </c>
      <c r="D5" s="54">
        <v>41306</v>
      </c>
      <c r="E5" s="306">
        <f>B$4*$H$5</f>
        <v>5.0253517391202811</v>
      </c>
      <c r="F5"/>
      <c r="G5" s="55">
        <v>5.204242572511486</v>
      </c>
      <c r="H5" s="56">
        <f t="shared" ref="H5:H15" si="0">G5/$G$16</f>
        <v>1.0345606915205832</v>
      </c>
      <c r="I5" s="52" t="s">
        <v>118</v>
      </c>
    </row>
    <row r="6" spans="1:9" ht="15" x14ac:dyDescent="0.25">
      <c r="A6" s="42">
        <v>2015</v>
      </c>
      <c r="B6" s="53">
        <f>'KeyInputs&amp;Result'!C8</f>
        <v>5.2675347023949772</v>
      </c>
      <c r="D6" s="54">
        <v>41334</v>
      </c>
      <c r="E6" s="306">
        <f>B$4*$H$6</f>
        <v>4.97077814694899</v>
      </c>
      <c r="F6"/>
      <c r="G6" s="55">
        <v>5.1477262873922207</v>
      </c>
      <c r="H6" s="56">
        <f t="shared" si="0"/>
        <v>1.0233257180925586</v>
      </c>
      <c r="I6" s="52" t="s">
        <v>119</v>
      </c>
    </row>
    <row r="7" spans="1:9" ht="15" x14ac:dyDescent="0.25">
      <c r="A7" s="42">
        <v>2016</v>
      </c>
      <c r="B7" s="53">
        <f>'KeyInputs&amp;Result'!C9</f>
        <v>5.57</v>
      </c>
      <c r="D7" s="54">
        <v>41365</v>
      </c>
      <c r="E7" s="306">
        <f>B$4*$H$7</f>
        <v>4.7698481030455868</v>
      </c>
      <c r="F7"/>
      <c r="G7" s="55">
        <v>4.9396436012712801</v>
      </c>
      <c r="H7" s="56">
        <f t="shared" si="0"/>
        <v>0.98196058865301106</v>
      </c>
      <c r="I7" s="52" t="s">
        <v>120</v>
      </c>
    </row>
    <row r="8" spans="1:9" ht="15" x14ac:dyDescent="0.25">
      <c r="A8" s="42">
        <v>2017</v>
      </c>
      <c r="B8" s="53">
        <f>'KeyInputs&amp;Result'!C10</f>
        <v>6.0812076341236505</v>
      </c>
      <c r="D8" s="54">
        <v>41395</v>
      </c>
      <c r="E8" s="306">
        <f>B$4*$H$8</f>
        <v>4.7276776000041316</v>
      </c>
      <c r="F8"/>
      <c r="G8" s="55">
        <v>4.895971926406391</v>
      </c>
      <c r="H8" s="56">
        <f t="shared" si="0"/>
        <v>0.97327901827680974</v>
      </c>
      <c r="I8" s="52" t="s">
        <v>121</v>
      </c>
    </row>
    <row r="9" spans="1:9" ht="15" x14ac:dyDescent="0.25">
      <c r="A9" s="42">
        <v>2018</v>
      </c>
      <c r="B9" s="53">
        <f>'KeyInputs&amp;Result'!C11</f>
        <v>6.6393332655877497</v>
      </c>
      <c r="D9" s="54">
        <v>41426</v>
      </c>
      <c r="E9" s="306">
        <f>B$4*$H$9</f>
        <v>4.7202357465262281</v>
      </c>
      <c r="F9"/>
      <c r="G9" s="55">
        <v>4.8882651602537637</v>
      </c>
      <c r="H9" s="56">
        <f t="shared" si="0"/>
        <v>0.97174697644571539</v>
      </c>
      <c r="I9" s="52" t="s">
        <v>122</v>
      </c>
    </row>
    <row r="10" spans="1:9" ht="15" x14ac:dyDescent="0.25">
      <c r="A10" s="42">
        <v>2019</v>
      </c>
      <c r="B10" s="53">
        <f>'KeyInputs&amp;Result'!C12</f>
        <v>7.2486829695122692</v>
      </c>
      <c r="D10" s="54">
        <v>41456</v>
      </c>
      <c r="E10" s="306">
        <f>B$4*$H$10</f>
        <v>4.7351194534820369</v>
      </c>
      <c r="F10"/>
      <c r="G10" s="55">
        <v>4.9036786925590201</v>
      </c>
      <c r="H10" s="56">
        <f t="shared" si="0"/>
        <v>0.97481106010790441</v>
      </c>
      <c r="I10" s="52" t="s">
        <v>123</v>
      </c>
    </row>
    <row r="11" spans="1:9" ht="15" x14ac:dyDescent="0.25">
      <c r="A11" s="42">
        <v>2020</v>
      </c>
      <c r="B11" s="53">
        <f>'KeyInputs&amp;Result'!C13</f>
        <v>7.9139580272064807</v>
      </c>
      <c r="D11" s="54">
        <v>41487</v>
      </c>
      <c r="E11" s="306">
        <f>B$4*$H$11</f>
        <v>4.7475225426118763</v>
      </c>
      <c r="F11"/>
      <c r="G11" s="55">
        <v>4.9165233028133981</v>
      </c>
      <c r="H11" s="56">
        <f t="shared" si="0"/>
        <v>0.97736446315972814</v>
      </c>
      <c r="I11" s="52" t="s">
        <v>124</v>
      </c>
    </row>
    <row r="12" spans="1:9" ht="15" x14ac:dyDescent="0.25">
      <c r="A12" s="42">
        <v>2021</v>
      </c>
      <c r="B12" s="53">
        <f>'KeyInputs&amp;Result'!C14</f>
        <v>8.6402911976987777</v>
      </c>
      <c r="D12" s="54">
        <v>41518</v>
      </c>
      <c r="E12" s="306">
        <f>B$4*$H$12</f>
        <v>4.7921736634792982</v>
      </c>
      <c r="F12"/>
      <c r="G12" s="55">
        <v>4.9627638997291621</v>
      </c>
      <c r="H12" s="56">
        <f t="shared" si="0"/>
        <v>0.98655671414629409</v>
      </c>
      <c r="I12" s="52" t="s">
        <v>125</v>
      </c>
    </row>
    <row r="13" spans="1:9" ht="15" x14ac:dyDescent="0.25">
      <c r="A13" s="42">
        <v>2022</v>
      </c>
      <c r="B13" s="53">
        <f>'KeyInputs&amp;Result'!C15</f>
        <v>9.4332863182221161</v>
      </c>
      <c r="D13" s="54">
        <v>41548</v>
      </c>
      <c r="E13" s="306">
        <f>B$4*$H$13</f>
        <v>4.7045925931171908</v>
      </c>
      <c r="F13"/>
      <c r="G13" s="55">
        <v>4.872065146967949</v>
      </c>
      <c r="H13" s="56">
        <f t="shared" si="0"/>
        <v>0.96852654682236539</v>
      </c>
      <c r="I13" s="52" t="s">
        <v>126</v>
      </c>
    </row>
    <row r="14" spans="1:9" ht="15" x14ac:dyDescent="0.25">
      <c r="A14" s="42">
        <v>2023</v>
      </c>
      <c r="B14" s="53">
        <f>'KeyInputs&amp;Result'!C16</f>
        <v>10.2990615391825</v>
      </c>
      <c r="D14" s="54">
        <v>41579</v>
      </c>
      <c r="E14" s="306">
        <f>B$4*$H$14</f>
        <v>4.9309442844626714</v>
      </c>
      <c r="F14"/>
      <c r="G14" s="55">
        <v>5.1064744320514128</v>
      </c>
      <c r="H14" s="56">
        <f t="shared" si="0"/>
        <v>1.015125187968672</v>
      </c>
      <c r="I14" s="52" t="s">
        <v>127</v>
      </c>
    </row>
    <row r="15" spans="1:9" ht="15.75" thickBot="1" x14ac:dyDescent="0.3">
      <c r="A15" s="42">
        <v>2024</v>
      </c>
      <c r="B15" s="53">
        <f>'KeyInputs&amp;Result'!C17</f>
        <v>11.244296527178793</v>
      </c>
      <c r="D15" s="54">
        <v>41609</v>
      </c>
      <c r="E15" s="306">
        <f>B$4*$H$15</f>
        <v>5.1078452684646578</v>
      </c>
      <c r="F15"/>
      <c r="G15" s="55">
        <v>5.2896726796279046</v>
      </c>
      <c r="H15" s="56">
        <f t="shared" si="0"/>
        <v>1.0515434953510334</v>
      </c>
      <c r="I15" s="52" t="s">
        <v>128</v>
      </c>
    </row>
    <row r="16" spans="1:9" ht="15.75" thickBot="1" x14ac:dyDescent="0.3">
      <c r="A16" s="42">
        <v>2025</v>
      </c>
      <c r="B16" s="53">
        <f>'KeyInputs&amp;Result'!C18</f>
        <v>12.276284000256682</v>
      </c>
      <c r="D16" s="54">
        <v>41640</v>
      </c>
      <c r="E16" s="306">
        <f>B$5*$H$4</f>
        <v>5.1176007811148212</v>
      </c>
      <c r="F16" s="288"/>
      <c r="G16" s="289">
        <f>AVERAGE(G4:G15)</f>
        <v>5.0303888550630713</v>
      </c>
      <c r="H16" s="290">
        <f>AVERAGE(H4:H15)</f>
        <v>1.0000000000000002</v>
      </c>
      <c r="I16" s="291" t="s">
        <v>50</v>
      </c>
    </row>
    <row r="17" spans="1:5" ht="15" x14ac:dyDescent="0.25">
      <c r="A17" s="42">
        <v>2026</v>
      </c>
      <c r="B17" s="53">
        <f>'KeyInputs&amp;Result'!C19</f>
        <v>13.402985993003764</v>
      </c>
      <c r="D17" s="54">
        <v>41671</v>
      </c>
      <c r="E17" s="306">
        <f>B$5*$H$5</f>
        <v>5.0849701737344972</v>
      </c>
    </row>
    <row r="18" spans="1:5" ht="15" x14ac:dyDescent="0.25">
      <c r="A18" s="42">
        <v>2027</v>
      </c>
      <c r="B18" s="53">
        <f>'KeyInputs&amp;Result'!C20</f>
        <v>14.633095285584714</v>
      </c>
      <c r="D18" s="54">
        <v>41699</v>
      </c>
      <c r="E18" s="306">
        <f>B$5*$H$6</f>
        <v>5.0297491458601087</v>
      </c>
    </row>
    <row r="19" spans="1:5" ht="15" x14ac:dyDescent="0.25">
      <c r="A19" s="42">
        <v>2028</v>
      </c>
      <c r="B19" s="53">
        <f>'KeyInputs&amp;Result'!C21</f>
        <v>15.976102470656471</v>
      </c>
      <c r="D19" s="54">
        <v>41730</v>
      </c>
      <c r="E19" s="306">
        <f>B$5*$H$7</f>
        <v>4.8264353614134849</v>
      </c>
    </row>
    <row r="20" spans="1:5" ht="15" x14ac:dyDescent="0.25">
      <c r="A20" s="42">
        <v>2029</v>
      </c>
      <c r="B20" s="53">
        <f>'KeyInputs&amp;Result'!C22</f>
        <v>17.442369175601048</v>
      </c>
      <c r="D20" s="54">
        <v>41760</v>
      </c>
      <c r="E20" s="306">
        <f>B$5*$H$8</f>
        <v>4.7837645671469096</v>
      </c>
    </row>
    <row r="21" spans="1:5" x14ac:dyDescent="0.3">
      <c r="A21" s="42">
        <v>2030</v>
      </c>
      <c r="B21" s="53">
        <f>'KeyInputs&amp;Result'!C23</f>
        <v>19.043208005003258</v>
      </c>
      <c r="D21" s="54">
        <v>41791</v>
      </c>
      <c r="E21" s="306">
        <f>B$5*$H$9</f>
        <v>4.7762344269822199</v>
      </c>
    </row>
    <row r="22" spans="1:5" x14ac:dyDescent="0.3">
      <c r="A22" s="42">
        <v>2031</v>
      </c>
      <c r="B22" s="53">
        <f>'KeyInputs&amp;Result'!C24</f>
        <v>20.790969820149087</v>
      </c>
      <c r="D22" s="54">
        <v>41821</v>
      </c>
      <c r="E22" s="306">
        <f>B$5*$H$10</f>
        <v>4.791294707311601</v>
      </c>
    </row>
    <row r="23" spans="1:5" x14ac:dyDescent="0.3">
      <c r="A23" s="42">
        <v>2032</v>
      </c>
      <c r="B23" s="53">
        <f>'KeyInputs&amp;Result'!C25</f>
        <v>22.699139028927302</v>
      </c>
      <c r="D23" s="54">
        <v>41852</v>
      </c>
      <c r="E23" s="306">
        <f>B$5*$H$11</f>
        <v>4.8038449409194159</v>
      </c>
    </row>
    <row r="24" spans="1:5" x14ac:dyDescent="0.3">
      <c r="B24" s="53"/>
      <c r="D24" s="54">
        <v>41883</v>
      </c>
      <c r="E24" s="306">
        <f>B$5*$H$12</f>
        <v>4.849025781907554</v>
      </c>
    </row>
    <row r="25" spans="1:5" x14ac:dyDescent="0.3">
      <c r="B25" s="53"/>
      <c r="D25" s="54">
        <v>41913</v>
      </c>
      <c r="E25" s="306">
        <f>B$5*$H$13</f>
        <v>4.7604056904802778</v>
      </c>
    </row>
    <row r="26" spans="1:5" x14ac:dyDescent="0.3">
      <c r="B26" s="53"/>
      <c r="D26" s="54">
        <v>41944</v>
      </c>
      <c r="E26" s="306">
        <f>B$5*$H$14</f>
        <v>4.9894427129649204</v>
      </c>
    </row>
    <row r="27" spans="1:5" x14ac:dyDescent="0.3">
      <c r="D27" s="54">
        <v>41974</v>
      </c>
      <c r="E27" s="306">
        <f>B$5*$H$15</f>
        <v>5.1684423679247642</v>
      </c>
    </row>
    <row r="28" spans="1:5" x14ac:dyDescent="0.3">
      <c r="D28" s="54">
        <v>42005</v>
      </c>
      <c r="E28" s="306">
        <f>B$6*$H$4</f>
        <v>5.4845547061985966</v>
      </c>
    </row>
    <row r="29" spans="1:5" x14ac:dyDescent="0.3">
      <c r="D29" s="54">
        <v>42036</v>
      </c>
      <c r="E29" s="306">
        <f>B$6*$H$5</f>
        <v>5.4495843443184171</v>
      </c>
    </row>
    <row r="30" spans="1:5" x14ac:dyDescent="0.3">
      <c r="D30" s="54">
        <v>42064</v>
      </c>
      <c r="E30" s="306">
        <f>B$6*$H$6</f>
        <v>5.3904037319058116</v>
      </c>
    </row>
    <row r="31" spans="1:5" x14ac:dyDescent="0.3">
      <c r="D31" s="54">
        <v>42095</v>
      </c>
      <c r="E31" s="306">
        <f>B$6*$H$7</f>
        <v>5.1725114771139351</v>
      </c>
    </row>
    <row r="32" spans="1:5" x14ac:dyDescent="0.3">
      <c r="D32" s="54">
        <v>42125</v>
      </c>
      <c r="E32" s="306">
        <f>B$6*$H$8</f>
        <v>5.1267810038860109</v>
      </c>
    </row>
    <row r="33" spans="4:5" x14ac:dyDescent="0.3">
      <c r="D33" s="54">
        <v>42156</v>
      </c>
      <c r="E33" s="306">
        <f>B$6*$H$9</f>
        <v>5.1187109203752001</v>
      </c>
    </row>
    <row r="34" spans="4:5" x14ac:dyDescent="0.3">
      <c r="D34" s="54">
        <v>42186</v>
      </c>
      <c r="E34" s="306">
        <f>B$6*$H$10</f>
        <v>5.1348510873968225</v>
      </c>
    </row>
    <row r="35" spans="4:5" x14ac:dyDescent="0.3">
      <c r="D35" s="54">
        <v>42217</v>
      </c>
      <c r="E35" s="306">
        <f>B$6*$H$11</f>
        <v>5.1483012265815056</v>
      </c>
    </row>
    <row r="36" spans="4:5" x14ac:dyDescent="0.3">
      <c r="D36" s="54">
        <v>42248</v>
      </c>
      <c r="E36" s="306">
        <f>B$6*$H$12</f>
        <v>5.1967217276463655</v>
      </c>
    </row>
    <row r="37" spans="4:5" x14ac:dyDescent="0.3">
      <c r="D37" s="54">
        <v>42278</v>
      </c>
      <c r="E37" s="306">
        <f>B$6*$H$13</f>
        <v>5.101747195577583</v>
      </c>
    </row>
    <row r="38" spans="4:5" x14ac:dyDescent="0.3">
      <c r="D38" s="54">
        <v>42309</v>
      </c>
      <c r="E38" s="306">
        <f>B$6*$H$14</f>
        <v>5.3472071549002038</v>
      </c>
    </row>
    <row r="39" spans="4:5" x14ac:dyDescent="0.3">
      <c r="D39" s="54">
        <v>42339</v>
      </c>
      <c r="E39" s="306">
        <f>B$6*$H$15</f>
        <v>5.5390418528392802</v>
      </c>
    </row>
    <row r="40" spans="4:5" x14ac:dyDescent="0.3">
      <c r="D40" s="54">
        <v>42370</v>
      </c>
      <c r="E40" s="306">
        <f>B$7*$H$4</f>
        <v>5.7994814347661645</v>
      </c>
    </row>
    <row r="41" spans="4:5" x14ac:dyDescent="0.3">
      <c r="D41" s="54">
        <v>42401</v>
      </c>
      <c r="E41" s="306">
        <f>B$7*$H$5</f>
        <v>5.7625030517696487</v>
      </c>
    </row>
    <row r="42" spans="4:5" x14ac:dyDescent="0.3">
      <c r="D42" s="54">
        <v>42430</v>
      </c>
      <c r="E42" s="306">
        <f>B$7*$H$6</f>
        <v>5.6999242497755516</v>
      </c>
    </row>
    <row r="43" spans="4:5" x14ac:dyDescent="0.3">
      <c r="D43" s="54">
        <v>42461</v>
      </c>
      <c r="E43" s="306">
        <f>B$7*$H$7</f>
        <v>5.4695204787972722</v>
      </c>
    </row>
    <row r="44" spans="4:5" x14ac:dyDescent="0.3">
      <c r="D44" s="54">
        <v>42491</v>
      </c>
      <c r="E44" s="306">
        <f>B$7*$H$8</f>
        <v>5.4211641318018309</v>
      </c>
    </row>
    <row r="45" spans="4:5" x14ac:dyDescent="0.3">
      <c r="D45" s="54">
        <v>42522</v>
      </c>
      <c r="E45" s="306">
        <f>B$7*$H$9</f>
        <v>5.4126306588026347</v>
      </c>
    </row>
    <row r="46" spans="4:5" x14ac:dyDescent="0.3">
      <c r="D46" s="54">
        <v>42552</v>
      </c>
      <c r="E46" s="306">
        <f>B$7*$H$10</f>
        <v>5.4296976048010279</v>
      </c>
    </row>
    <row r="47" spans="4:5" x14ac:dyDescent="0.3">
      <c r="D47" s="54">
        <v>42583</v>
      </c>
      <c r="E47" s="306">
        <f>B$7*$H$11</f>
        <v>5.4439200597996864</v>
      </c>
    </row>
    <row r="48" spans="4:5" x14ac:dyDescent="0.3">
      <c r="D48" s="54">
        <v>42614</v>
      </c>
      <c r="E48" s="306">
        <f>B$7*$H$12</f>
        <v>5.495120897794858</v>
      </c>
    </row>
    <row r="49" spans="4:5" x14ac:dyDescent="0.3">
      <c r="D49" s="54">
        <v>42644</v>
      </c>
      <c r="E49" s="306">
        <f>B$7*$H$13</f>
        <v>5.3946928658005753</v>
      </c>
    </row>
    <row r="50" spans="4:5" x14ac:dyDescent="0.3">
      <c r="D50" s="54">
        <v>42675</v>
      </c>
      <c r="E50" s="306">
        <f>B$7*$H$14</f>
        <v>5.6542472969855035</v>
      </c>
    </row>
    <row r="51" spans="4:5" x14ac:dyDescent="0.3">
      <c r="D51" s="54">
        <v>42705</v>
      </c>
      <c r="E51" s="306">
        <f>B$7*$H$15</f>
        <v>5.8570972691052567</v>
      </c>
    </row>
    <row r="52" spans="4:5" x14ac:dyDescent="0.3">
      <c r="D52" s="54">
        <v>42736</v>
      </c>
      <c r="E52" s="306">
        <f>B$8*$H$4</f>
        <v>6.3317505879817562</v>
      </c>
    </row>
    <row r="53" spans="4:5" x14ac:dyDescent="0.3">
      <c r="D53" s="54">
        <v>42767</v>
      </c>
      <c r="E53" s="306">
        <f>B$8*$H$5</f>
        <v>6.291378375239213</v>
      </c>
    </row>
    <row r="54" spans="4:5" x14ac:dyDescent="0.3">
      <c r="D54" s="54">
        <v>42795</v>
      </c>
      <c r="E54" s="306">
        <f>B$8*$H$6</f>
        <v>6.2230561690595341</v>
      </c>
    </row>
    <row r="55" spans="4:5" x14ac:dyDescent="0.3">
      <c r="D55" s="54">
        <v>42826</v>
      </c>
      <c r="E55" s="306">
        <f>B$8*$H$7</f>
        <v>5.9715062281252447</v>
      </c>
    </row>
    <row r="56" spans="4:5" x14ac:dyDescent="0.3">
      <c r="D56" s="54">
        <v>42856</v>
      </c>
      <c r="E56" s="306">
        <f>B$8*$H$8</f>
        <v>5.9187117960773072</v>
      </c>
    </row>
    <row r="57" spans="4:5" x14ac:dyDescent="0.3">
      <c r="D57" s="54">
        <v>42887</v>
      </c>
      <c r="E57" s="306">
        <f>B$8*$H$9</f>
        <v>5.9093951315982594</v>
      </c>
    </row>
    <row r="58" spans="4:5" x14ac:dyDescent="0.3">
      <c r="D58" s="54">
        <v>42917</v>
      </c>
      <c r="E58" s="306">
        <f>B$8*$H$10</f>
        <v>5.9280284605563569</v>
      </c>
    </row>
    <row r="59" spans="4:5" x14ac:dyDescent="0.3">
      <c r="D59" s="54">
        <v>42948</v>
      </c>
      <c r="E59" s="306">
        <f>B$8*$H$11</f>
        <v>5.9435562346881019</v>
      </c>
    </row>
    <row r="60" spans="4:5" x14ac:dyDescent="0.3">
      <c r="D60" s="54">
        <v>42979</v>
      </c>
      <c r="E60" s="306">
        <f>B$8*$H$12</f>
        <v>5.9994562215623874</v>
      </c>
    </row>
    <row r="61" spans="4:5" x14ac:dyDescent="0.3">
      <c r="D61" s="54">
        <v>43009</v>
      </c>
      <c r="E61" s="306">
        <f>B$8*$H$13</f>
        <v>5.8898110303875857</v>
      </c>
    </row>
    <row r="62" spans="4:5" x14ac:dyDescent="0.3">
      <c r="D62" s="54">
        <v>43040</v>
      </c>
      <c r="E62" s="306">
        <f>B$8*$H$14</f>
        <v>6.173187042666294</v>
      </c>
    </row>
    <row r="63" spans="4:5" x14ac:dyDescent="0.3">
      <c r="D63" s="54">
        <v>43070</v>
      </c>
      <c r="E63" s="306">
        <f>B$8*$H$15</f>
        <v>6.3946543315417719</v>
      </c>
    </row>
    <row r="64" spans="4:5" x14ac:dyDescent="0.3">
      <c r="D64" s="54">
        <v>43101</v>
      </c>
      <c r="E64" s="306">
        <f t="shared" ref="E64:E75" si="1">B$9*$H4</f>
        <v>6.9128707384203887</v>
      </c>
    </row>
    <row r="65" spans="4:5" x14ac:dyDescent="0.3">
      <c r="D65" s="54">
        <v>43132</v>
      </c>
      <c r="E65" s="306">
        <f t="shared" si="1"/>
        <v>6.868793214482074</v>
      </c>
    </row>
    <row r="66" spans="4:5" x14ac:dyDescent="0.3">
      <c r="D66" s="54">
        <v>43160</v>
      </c>
      <c r="E66" s="306">
        <f t="shared" si="1"/>
        <v>6.7942004816633954</v>
      </c>
    </row>
    <row r="67" spans="4:5" x14ac:dyDescent="0.3">
      <c r="D67" s="54">
        <v>43191</v>
      </c>
      <c r="E67" s="306">
        <f t="shared" si="1"/>
        <v>6.5195636017400647</v>
      </c>
    </row>
    <row r="68" spans="4:5" x14ac:dyDescent="0.3">
      <c r="D68" s="54">
        <v>43221</v>
      </c>
      <c r="E68" s="306">
        <f t="shared" si="1"/>
        <v>6.46192376274381</v>
      </c>
    </row>
    <row r="69" spans="4:5" x14ac:dyDescent="0.3">
      <c r="D69" s="54">
        <v>43252</v>
      </c>
      <c r="E69" s="306">
        <f t="shared" si="1"/>
        <v>6.4517520264503538</v>
      </c>
    </row>
    <row r="70" spans="4:5" x14ac:dyDescent="0.3">
      <c r="D70" s="54">
        <v>43282</v>
      </c>
      <c r="E70" s="306">
        <f t="shared" si="1"/>
        <v>6.4720954990372688</v>
      </c>
    </row>
    <row r="71" spans="4:5" x14ac:dyDescent="0.3">
      <c r="D71" s="54">
        <v>43313</v>
      </c>
      <c r="E71" s="306">
        <f t="shared" si="1"/>
        <v>6.4890483928596954</v>
      </c>
    </row>
    <row r="72" spans="4:5" x14ac:dyDescent="0.3">
      <c r="D72" s="54">
        <v>43344</v>
      </c>
      <c r="E72" s="306">
        <f t="shared" si="1"/>
        <v>6.5500788106204348</v>
      </c>
    </row>
    <row r="73" spans="4:5" x14ac:dyDescent="0.3">
      <c r="D73" s="54">
        <v>43374</v>
      </c>
      <c r="E73" s="306">
        <f t="shared" si="1"/>
        <v>6.4303705209225619</v>
      </c>
    </row>
    <row r="74" spans="4:5" x14ac:dyDescent="0.3">
      <c r="D74" s="54">
        <v>43405</v>
      </c>
      <c r="E74" s="306">
        <f t="shared" si="1"/>
        <v>6.7397544292164211</v>
      </c>
    </row>
    <row r="75" spans="4:5" x14ac:dyDescent="0.3">
      <c r="D75" s="54">
        <v>43435</v>
      </c>
      <c r="E75" s="306">
        <f t="shared" si="1"/>
        <v>6.9815477088965334</v>
      </c>
    </row>
    <row r="76" spans="4:5" x14ac:dyDescent="0.3">
      <c r="D76" s="54">
        <v>43466</v>
      </c>
      <c r="E76" s="306">
        <f t="shared" ref="E76:E87" si="2">B$10*$H4</f>
        <v>7.547325369513838</v>
      </c>
    </row>
    <row r="77" spans="4:5" x14ac:dyDescent="0.3">
      <c r="D77" s="54">
        <v>43497</v>
      </c>
      <c r="E77" s="306">
        <f t="shared" si="2"/>
        <v>7.4992024655520879</v>
      </c>
    </row>
    <row r="78" spans="4:5" x14ac:dyDescent="0.3">
      <c r="D78" s="54">
        <v>43525</v>
      </c>
      <c r="E78" s="306">
        <f t="shared" si="2"/>
        <v>7.4177637050014429</v>
      </c>
    </row>
    <row r="79" spans="4:5" x14ac:dyDescent="0.3">
      <c r="D79" s="54">
        <v>43556</v>
      </c>
      <c r="E79" s="306">
        <f t="shared" si="2"/>
        <v>7.1179209957013239</v>
      </c>
    </row>
    <row r="80" spans="4:5" x14ac:dyDescent="0.3">
      <c r="D80" s="54">
        <v>43586</v>
      </c>
      <c r="E80" s="306">
        <f t="shared" si="2"/>
        <v>7.054991044366731</v>
      </c>
    </row>
    <row r="81" spans="4:5" x14ac:dyDescent="0.3">
      <c r="D81" s="54">
        <v>43617</v>
      </c>
      <c r="E81" s="306">
        <f t="shared" si="2"/>
        <v>7.0438857588370976</v>
      </c>
    </row>
    <row r="82" spans="4:5" x14ac:dyDescent="0.3">
      <c r="D82" s="54">
        <v>43647</v>
      </c>
      <c r="E82" s="306">
        <f t="shared" si="2"/>
        <v>7.0660963298963679</v>
      </c>
    </row>
    <row r="83" spans="4:5" x14ac:dyDescent="0.3">
      <c r="D83" s="54">
        <v>43678</v>
      </c>
      <c r="E83" s="306">
        <f t="shared" si="2"/>
        <v>7.0846051391124227</v>
      </c>
    </row>
    <row r="84" spans="4:5" x14ac:dyDescent="0.3">
      <c r="D84" s="54">
        <v>43709</v>
      </c>
      <c r="E84" s="306">
        <f t="shared" si="2"/>
        <v>7.1512368522902259</v>
      </c>
    </row>
    <row r="85" spans="4:5" x14ac:dyDescent="0.3">
      <c r="D85" s="54">
        <v>43739</v>
      </c>
      <c r="E85" s="306">
        <f t="shared" si="2"/>
        <v>7.0205418854718076</v>
      </c>
    </row>
    <row r="86" spans="4:5" x14ac:dyDescent="0.3">
      <c r="D86" s="54">
        <v>43770</v>
      </c>
      <c r="E86" s="306">
        <f t="shared" si="2"/>
        <v>7.3583206619514536</v>
      </c>
    </row>
    <row r="87" spans="4:5" x14ac:dyDescent="0.3">
      <c r="D87" s="54">
        <v>43800</v>
      </c>
      <c r="E87" s="306">
        <f t="shared" si="2"/>
        <v>7.6223054264524404</v>
      </c>
    </row>
    <row r="88" spans="4:5" x14ac:dyDescent="0.3">
      <c r="D88" s="54">
        <v>43831</v>
      </c>
      <c r="E88" s="306">
        <f t="shared" ref="E88:E99" si="3">B$11*$H4</f>
        <v>8.2400094531961656</v>
      </c>
    </row>
    <row r="89" spans="4:5" x14ac:dyDescent="0.3">
      <c r="D89" s="54">
        <v>43862</v>
      </c>
      <c r="E89" s="306">
        <f t="shared" si="3"/>
        <v>8.1874698892916076</v>
      </c>
    </row>
    <row r="90" spans="4:5" x14ac:dyDescent="0.3">
      <c r="D90" s="54">
        <v>43891</v>
      </c>
      <c r="E90" s="306">
        <f t="shared" si="3"/>
        <v>8.0985567811454402</v>
      </c>
    </row>
    <row r="91" spans="4:5" x14ac:dyDescent="0.3">
      <c r="D91" s="54">
        <v>43922</v>
      </c>
      <c r="E91" s="306">
        <f t="shared" si="3"/>
        <v>7.7711948829708977</v>
      </c>
    </row>
    <row r="92" spans="4:5" x14ac:dyDescent="0.3">
      <c r="D92" s="54">
        <v>43952</v>
      </c>
      <c r="E92" s="306">
        <f t="shared" si="3"/>
        <v>7.7024892994034015</v>
      </c>
    </row>
    <row r="93" spans="4:5" x14ac:dyDescent="0.3">
      <c r="D93" s="54">
        <v>43983</v>
      </c>
      <c r="E93" s="306">
        <f t="shared" si="3"/>
        <v>7.6903647846561967</v>
      </c>
    </row>
    <row r="94" spans="4:5" x14ac:dyDescent="0.3">
      <c r="D94" s="54">
        <v>44013</v>
      </c>
      <c r="E94" s="306">
        <f t="shared" si="3"/>
        <v>7.7146138141506091</v>
      </c>
    </row>
    <row r="95" spans="4:5" x14ac:dyDescent="0.3">
      <c r="D95" s="54">
        <v>44044</v>
      </c>
      <c r="E95" s="306">
        <f t="shared" si="3"/>
        <v>7.734821338729283</v>
      </c>
    </row>
    <row r="96" spans="4:5" x14ac:dyDescent="0.3">
      <c r="D96" s="54">
        <v>44075</v>
      </c>
      <c r="E96" s="306">
        <f t="shared" si="3"/>
        <v>7.8075684272125132</v>
      </c>
    </row>
    <row r="97" spans="4:5" x14ac:dyDescent="0.3">
      <c r="D97" s="54">
        <v>44105</v>
      </c>
      <c r="E97" s="306">
        <f t="shared" si="3"/>
        <v>7.6648784397874321</v>
      </c>
    </row>
    <row r="98" spans="4:5" x14ac:dyDescent="0.3">
      <c r="D98" s="54">
        <v>44136</v>
      </c>
      <c r="E98" s="306">
        <f t="shared" si="3"/>
        <v>8.0336581299441594</v>
      </c>
    </row>
    <row r="99" spans="4:5" x14ac:dyDescent="0.3">
      <c r="D99" s="54">
        <v>44166</v>
      </c>
      <c r="E99" s="306">
        <f t="shared" si="3"/>
        <v>8.3218710859900717</v>
      </c>
    </row>
    <row r="100" spans="4:5" x14ac:dyDescent="0.3">
      <c r="D100" s="54">
        <v>44197</v>
      </c>
      <c r="E100" s="306">
        <f t="shared" ref="E100:E111" si="4">B$12*$H4</f>
        <v>8.9962672158038721</v>
      </c>
    </row>
    <row r="101" spans="4:5" x14ac:dyDescent="0.3">
      <c r="D101" s="54">
        <v>44228</v>
      </c>
      <c r="E101" s="306">
        <f t="shared" si="4"/>
        <v>8.9389056364304551</v>
      </c>
    </row>
    <row r="102" spans="4:5" x14ac:dyDescent="0.3">
      <c r="D102" s="54">
        <v>44256</v>
      </c>
      <c r="E102" s="306">
        <f t="shared" si="4"/>
        <v>8.8418321944139144</v>
      </c>
    </row>
    <row r="103" spans="4:5" x14ac:dyDescent="0.3">
      <c r="D103" s="54">
        <v>44287</v>
      </c>
      <c r="E103" s="306">
        <f t="shared" si="4"/>
        <v>8.4844254306257216</v>
      </c>
    </row>
    <row r="104" spans="4:5" x14ac:dyDescent="0.3">
      <c r="D104" s="54">
        <v>44317</v>
      </c>
      <c r="E104" s="306">
        <f t="shared" si="4"/>
        <v>8.4094141345220272</v>
      </c>
    </row>
    <row r="105" spans="4:5" x14ac:dyDescent="0.3">
      <c r="D105" s="54">
        <v>44348</v>
      </c>
      <c r="E105" s="306">
        <f t="shared" si="4"/>
        <v>8.396176846974317</v>
      </c>
    </row>
    <row r="106" spans="4:5" x14ac:dyDescent="0.3">
      <c r="D106" s="54">
        <v>44378</v>
      </c>
      <c r="E106" s="306">
        <f t="shared" si="4"/>
        <v>8.422651422069741</v>
      </c>
    </row>
    <row r="107" spans="4:5" x14ac:dyDescent="0.3">
      <c r="D107" s="54">
        <v>44409</v>
      </c>
      <c r="E107" s="306">
        <f t="shared" si="4"/>
        <v>8.4447135679825909</v>
      </c>
    </row>
    <row r="108" spans="4:5" x14ac:dyDescent="0.3">
      <c r="D108" s="54">
        <v>44440</v>
      </c>
      <c r="E108" s="306">
        <f t="shared" si="4"/>
        <v>8.5241372932688542</v>
      </c>
    </row>
    <row r="109" spans="4:5" x14ac:dyDescent="0.3">
      <c r="D109" s="54">
        <v>44470</v>
      </c>
      <c r="E109" s="306">
        <f t="shared" si="4"/>
        <v>8.3683513972468759</v>
      </c>
    </row>
    <row r="110" spans="4:5" x14ac:dyDescent="0.3">
      <c r="D110" s="54">
        <v>44501</v>
      </c>
      <c r="E110" s="306">
        <f t="shared" si="4"/>
        <v>8.7709772261680339</v>
      </c>
    </row>
    <row r="111" spans="4:5" x14ac:dyDescent="0.3">
      <c r="D111" s="54">
        <v>44531</v>
      </c>
      <c r="E111" s="306">
        <f t="shared" si="4"/>
        <v>9.0856420068789401</v>
      </c>
    </row>
    <row r="112" spans="4:5" x14ac:dyDescent="0.3">
      <c r="D112" s="54">
        <v>44562</v>
      </c>
      <c r="E112" s="306">
        <f t="shared" ref="E112:E123" si="5">B$13*$H4</f>
        <v>9.8219333700830926</v>
      </c>
    </row>
    <row r="113" spans="4:5" x14ac:dyDescent="0.3">
      <c r="D113" s="54">
        <v>44593</v>
      </c>
      <c r="E113" s="306">
        <f t="shared" si="5"/>
        <v>9.7593072166915285</v>
      </c>
    </row>
    <row r="114" spans="4:5" x14ac:dyDescent="0.3">
      <c r="D114" s="54">
        <v>44621</v>
      </c>
      <c r="E114" s="306">
        <f t="shared" si="5"/>
        <v>9.6533244955673556</v>
      </c>
    </row>
    <row r="115" spans="4:5" x14ac:dyDescent="0.3">
      <c r="D115" s="54">
        <v>44652</v>
      </c>
      <c r="E115" s="306">
        <f t="shared" si="5"/>
        <v>9.2631153859737836</v>
      </c>
    </row>
    <row r="116" spans="4:5" x14ac:dyDescent="0.3">
      <c r="D116" s="54">
        <v>44682</v>
      </c>
      <c r="E116" s="306">
        <f t="shared" si="5"/>
        <v>9.1812196469232816</v>
      </c>
    </row>
    <row r="117" spans="4:5" x14ac:dyDescent="0.3">
      <c r="D117" s="54">
        <v>44713</v>
      </c>
      <c r="E117" s="306">
        <f t="shared" si="5"/>
        <v>9.1667674576790752</v>
      </c>
    </row>
    <row r="118" spans="4:5" x14ac:dyDescent="0.3">
      <c r="D118" s="54">
        <v>44743</v>
      </c>
      <c r="E118" s="306">
        <f t="shared" si="5"/>
        <v>9.1956718361674916</v>
      </c>
    </row>
    <row r="119" spans="4:5" x14ac:dyDescent="0.3">
      <c r="D119" s="54">
        <v>44774</v>
      </c>
      <c r="E119" s="306">
        <f t="shared" si="5"/>
        <v>9.2197588182411661</v>
      </c>
    </row>
    <row r="120" spans="4:5" x14ac:dyDescent="0.3">
      <c r="D120" s="54">
        <v>44805</v>
      </c>
      <c r="E120" s="306">
        <f t="shared" si="5"/>
        <v>9.3064719537064029</v>
      </c>
    </row>
    <row r="121" spans="4:5" x14ac:dyDescent="0.3">
      <c r="D121" s="54">
        <v>44835</v>
      </c>
      <c r="E121" s="306">
        <f t="shared" si="5"/>
        <v>9.1363882229743307</v>
      </c>
    </row>
    <row r="122" spans="4:5" x14ac:dyDescent="0.3">
      <c r="D122" s="54">
        <v>44866</v>
      </c>
      <c r="E122" s="306">
        <f t="shared" si="5"/>
        <v>9.5759665469475284</v>
      </c>
    </row>
    <row r="123" spans="4:5" x14ac:dyDescent="0.3">
      <c r="D123" s="54">
        <v>44896</v>
      </c>
      <c r="E123" s="306">
        <f t="shared" si="5"/>
        <v>9.9195108677103647</v>
      </c>
    </row>
    <row r="124" spans="4:5" x14ac:dyDescent="0.3">
      <c r="D124" s="54">
        <v>44927</v>
      </c>
      <c r="E124" s="306">
        <f t="shared" ref="E124:E135" si="6">B$14*$H4</f>
        <v>10.723378131418876</v>
      </c>
    </row>
    <row r="125" spans="4:5" x14ac:dyDescent="0.3">
      <c r="D125" s="54">
        <v>44958</v>
      </c>
      <c r="E125" s="306">
        <f t="shared" si="6"/>
        <v>10.655004227989687</v>
      </c>
    </row>
    <row r="126" spans="4:5" x14ac:dyDescent="0.3">
      <c r="D126" s="54">
        <v>44986</v>
      </c>
      <c r="E126" s="306">
        <f t="shared" si="6"/>
        <v>10.539294545263383</v>
      </c>
    </row>
    <row r="127" spans="4:5" x14ac:dyDescent="0.3">
      <c r="D127" s="54">
        <v>45017</v>
      </c>
      <c r="E127" s="306">
        <f t="shared" si="6"/>
        <v>10.113272531589233</v>
      </c>
    </row>
    <row r="128" spans="4:5" x14ac:dyDescent="0.3">
      <c r="D128" s="54">
        <v>45047</v>
      </c>
      <c r="E128" s="306">
        <f t="shared" si="6"/>
        <v>10.023860504027992</v>
      </c>
    </row>
    <row r="129" spans="4:5" x14ac:dyDescent="0.3">
      <c r="D129" s="54">
        <v>45078</v>
      </c>
      <c r="E129" s="306">
        <f t="shared" si="6"/>
        <v>10.008081910928949</v>
      </c>
    </row>
    <row r="130" spans="4:5" x14ac:dyDescent="0.3">
      <c r="D130" s="54">
        <v>45108</v>
      </c>
      <c r="E130" s="306">
        <f t="shared" si="6"/>
        <v>10.039639097127038</v>
      </c>
    </row>
    <row r="131" spans="4:5" x14ac:dyDescent="0.3">
      <c r="D131" s="54">
        <v>45139</v>
      </c>
      <c r="E131" s="306">
        <f t="shared" si="6"/>
        <v>10.065936752292107</v>
      </c>
    </row>
    <row r="132" spans="4:5" x14ac:dyDescent="0.3">
      <c r="D132" s="54">
        <v>45170</v>
      </c>
      <c r="E132" s="306">
        <f t="shared" si="6"/>
        <v>10.16060831088636</v>
      </c>
    </row>
    <row r="133" spans="4:5" x14ac:dyDescent="0.3">
      <c r="D133" s="54">
        <v>45200</v>
      </c>
      <c r="E133" s="306">
        <f t="shared" si="6"/>
        <v>9.9749145080554609</v>
      </c>
    </row>
    <row r="134" spans="4:5" x14ac:dyDescent="0.3">
      <c r="D134" s="54">
        <v>45231</v>
      </c>
      <c r="E134" s="306">
        <f t="shared" si="6"/>
        <v>10.454836780863555</v>
      </c>
    </row>
    <row r="135" spans="4:5" x14ac:dyDescent="0.3">
      <c r="D135" s="54">
        <v>45261</v>
      </c>
      <c r="E135" s="306">
        <f t="shared" si="6"/>
        <v>10.82991116974736</v>
      </c>
    </row>
    <row r="136" spans="4:5" x14ac:dyDescent="0.3">
      <c r="D136" s="54">
        <v>45292</v>
      </c>
      <c r="E136" s="306">
        <f t="shared" ref="E136:E147" si="7">B$15*$H4</f>
        <v>11.707556365597679</v>
      </c>
    </row>
    <row r="137" spans="4:5" x14ac:dyDescent="0.3">
      <c r="D137" s="54">
        <v>45323</v>
      </c>
      <c r="E137" s="306">
        <f t="shared" si="7"/>
        <v>11.632907190820584</v>
      </c>
    </row>
    <row r="138" spans="4:5" x14ac:dyDescent="0.3">
      <c r="D138" s="54">
        <v>45352</v>
      </c>
      <c r="E138" s="306">
        <f t="shared" si="7"/>
        <v>11.506577818120901</v>
      </c>
    </row>
    <row r="139" spans="4:5" x14ac:dyDescent="0.3">
      <c r="D139" s="54">
        <v>45383</v>
      </c>
      <c r="E139" s="306">
        <f t="shared" si="7"/>
        <v>11.041456036817495</v>
      </c>
    </row>
    <row r="140" spans="4:5" x14ac:dyDescent="0.3">
      <c r="D140" s="54">
        <v>45413</v>
      </c>
      <c r="E140" s="306">
        <f t="shared" si="7"/>
        <v>10.943837885185918</v>
      </c>
    </row>
    <row r="141" spans="4:5" x14ac:dyDescent="0.3">
      <c r="D141" s="54">
        <v>45444</v>
      </c>
      <c r="E141" s="306">
        <f t="shared" si="7"/>
        <v>10.92661115254505</v>
      </c>
    </row>
    <row r="142" spans="4:5" x14ac:dyDescent="0.3">
      <c r="D142" s="54">
        <v>45474</v>
      </c>
      <c r="E142" s="306">
        <f t="shared" si="7"/>
        <v>10.961064617826787</v>
      </c>
    </row>
    <row r="143" spans="4:5" x14ac:dyDescent="0.3">
      <c r="D143" s="54">
        <v>45505</v>
      </c>
      <c r="E143" s="306">
        <f t="shared" si="7"/>
        <v>10.989775838894897</v>
      </c>
    </row>
    <row r="144" spans="4:5" x14ac:dyDescent="0.3">
      <c r="D144" s="54">
        <v>45536</v>
      </c>
      <c r="E144" s="306">
        <f t="shared" si="7"/>
        <v>11.093136234740097</v>
      </c>
    </row>
    <row r="145" spans="4:5" x14ac:dyDescent="0.3">
      <c r="D145" s="54">
        <v>45566</v>
      </c>
      <c r="E145" s="306">
        <f t="shared" si="7"/>
        <v>10.890399686915192</v>
      </c>
    </row>
    <row r="146" spans="4:5" x14ac:dyDescent="0.3">
      <c r="D146" s="54">
        <v>45597</v>
      </c>
      <c r="E146" s="306">
        <f t="shared" si="7"/>
        <v>11.414368625727858</v>
      </c>
    </row>
    <row r="147" spans="4:5" x14ac:dyDescent="0.3">
      <c r="D147" s="54">
        <v>45627</v>
      </c>
      <c r="E147" s="306">
        <f t="shared" si="7"/>
        <v>11.823866872953074</v>
      </c>
    </row>
    <row r="148" spans="4:5" x14ac:dyDescent="0.3">
      <c r="D148" s="54">
        <v>45658</v>
      </c>
      <c r="E148" s="306">
        <f t="shared" ref="E148:E159" si="8">B$16*$H4</f>
        <v>12.782061247290041</v>
      </c>
    </row>
    <row r="149" spans="4:5" x14ac:dyDescent="0.3">
      <c r="D149" s="54">
        <v>45689</v>
      </c>
      <c r="E149" s="306">
        <f t="shared" si="8"/>
        <v>12.700560864608624</v>
      </c>
    </row>
    <row r="150" spans="4:5" x14ac:dyDescent="0.3">
      <c r="D150" s="54">
        <v>45717</v>
      </c>
      <c r="E150" s="306">
        <f t="shared" si="8"/>
        <v>12.562637140070857</v>
      </c>
    </row>
    <row r="151" spans="4:5" x14ac:dyDescent="0.3">
      <c r="D151" s="54">
        <v>45748</v>
      </c>
      <c r="E151" s="306">
        <f t="shared" si="8"/>
        <v>12.054827063363593</v>
      </c>
    </row>
    <row r="152" spans="4:5" x14ac:dyDescent="0.3">
      <c r="D152" s="54">
        <v>45778</v>
      </c>
      <c r="E152" s="306">
        <f t="shared" si="8"/>
        <v>11.94824963985713</v>
      </c>
    </row>
    <row r="153" spans="4:5" x14ac:dyDescent="0.3">
      <c r="D153" s="54">
        <v>45809</v>
      </c>
      <c r="E153" s="306">
        <f t="shared" si="8"/>
        <v>11.929441859238343</v>
      </c>
    </row>
    <row r="154" spans="4:5" x14ac:dyDescent="0.3">
      <c r="D154" s="54">
        <v>45839</v>
      </c>
      <c r="E154" s="306">
        <f t="shared" si="8"/>
        <v>11.967057420475921</v>
      </c>
    </row>
    <row r="155" spans="4:5" x14ac:dyDescent="0.3">
      <c r="D155" s="54">
        <v>45870</v>
      </c>
      <c r="E155" s="306">
        <f t="shared" si="8"/>
        <v>11.998403721507232</v>
      </c>
    </row>
    <row r="156" spans="4:5" x14ac:dyDescent="0.3">
      <c r="D156" s="54">
        <v>45901</v>
      </c>
      <c r="E156" s="306">
        <f t="shared" si="8"/>
        <v>12.111250405219955</v>
      </c>
    </row>
    <row r="157" spans="4:5" x14ac:dyDescent="0.3">
      <c r="D157" s="54">
        <v>45931</v>
      </c>
      <c r="E157" s="306">
        <f t="shared" si="8"/>
        <v>11.889906950579258</v>
      </c>
    </row>
    <row r="158" spans="4:5" x14ac:dyDescent="0.3">
      <c r="D158" s="54">
        <v>45962</v>
      </c>
      <c r="E158" s="306">
        <f t="shared" si="8"/>
        <v>12.461965103317365</v>
      </c>
    </row>
    <row r="159" spans="4:5" x14ac:dyDescent="0.3">
      <c r="D159" s="54">
        <v>45992</v>
      </c>
      <c r="E159" s="306">
        <f t="shared" si="8"/>
        <v>12.909046587551879</v>
      </c>
    </row>
    <row r="160" spans="4:5" x14ac:dyDescent="0.3">
      <c r="D160" s="54">
        <v>46023</v>
      </c>
      <c r="E160" s="306">
        <f t="shared" ref="E160:E171" si="9">B$17*$H4</f>
        <v>13.955182843241701</v>
      </c>
    </row>
    <row r="161" spans="4:5" x14ac:dyDescent="0.3">
      <c r="D161" s="54">
        <v>46054</v>
      </c>
      <c r="E161" s="306">
        <f t="shared" si="9"/>
        <v>13.866202457362665</v>
      </c>
    </row>
    <row r="162" spans="4:5" x14ac:dyDescent="0.3">
      <c r="D162" s="54">
        <v>46082</v>
      </c>
      <c r="E162" s="306">
        <f t="shared" si="9"/>
        <v>13.715620265875081</v>
      </c>
    </row>
    <row r="163" spans="4:5" x14ac:dyDescent="0.3">
      <c r="D163" s="54">
        <v>46113</v>
      </c>
      <c r="E163" s="306">
        <f t="shared" si="9"/>
        <v>13.161204015398038</v>
      </c>
    </row>
    <row r="164" spans="4:5" x14ac:dyDescent="0.3">
      <c r="D164" s="54">
        <v>46143</v>
      </c>
      <c r="E164" s="306">
        <f t="shared" si="9"/>
        <v>13.044845049248535</v>
      </c>
    </row>
    <row r="165" spans="4:5" x14ac:dyDescent="0.3">
      <c r="D165" s="54">
        <v>46174</v>
      </c>
      <c r="E165" s="306">
        <f t="shared" si="9"/>
        <v>13.024311114045682</v>
      </c>
    </row>
    <row r="166" spans="4:5" x14ac:dyDescent="0.3">
      <c r="D166" s="54">
        <v>46204</v>
      </c>
      <c r="E166" s="306">
        <f t="shared" si="9"/>
        <v>13.065378984451392</v>
      </c>
    </row>
    <row r="167" spans="4:5" x14ac:dyDescent="0.3">
      <c r="D167" s="54">
        <v>46235</v>
      </c>
      <c r="E167" s="306">
        <f t="shared" si="9"/>
        <v>13.099602209789479</v>
      </c>
    </row>
    <row r="168" spans="4:5" x14ac:dyDescent="0.3">
      <c r="D168" s="54">
        <v>46266</v>
      </c>
      <c r="E168" s="306">
        <f t="shared" si="9"/>
        <v>13.222805821006597</v>
      </c>
    </row>
    <row r="169" spans="4:5" x14ac:dyDescent="0.3">
      <c r="D169" s="54">
        <v>46296</v>
      </c>
      <c r="E169" s="306">
        <f t="shared" si="9"/>
        <v>12.981147740912467</v>
      </c>
    </row>
    <row r="170" spans="4:5" x14ac:dyDescent="0.3">
      <c r="D170" s="54">
        <v>46327</v>
      </c>
      <c r="E170" s="306">
        <f t="shared" si="9"/>
        <v>13.605708675489424</v>
      </c>
    </row>
    <row r="171" spans="4:5" x14ac:dyDescent="0.3">
      <c r="D171" s="54">
        <v>46357</v>
      </c>
      <c r="E171" s="306">
        <f t="shared" si="9"/>
        <v>14.09382273922412</v>
      </c>
    </row>
    <row r="172" spans="4:5" x14ac:dyDescent="0.3">
      <c r="D172" s="54">
        <v>46388</v>
      </c>
      <c r="E172" s="306">
        <f t="shared" ref="E172:E183" si="10">B$18*$H4</f>
        <v>15.235972072156702</v>
      </c>
    </row>
    <row r="173" spans="4:5" x14ac:dyDescent="0.3">
      <c r="D173" s="54">
        <v>46419</v>
      </c>
      <c r="E173" s="306">
        <f t="shared" si="10"/>
        <v>15.138825177741108</v>
      </c>
    </row>
    <row r="174" spans="4:5" x14ac:dyDescent="0.3">
      <c r="D174" s="54">
        <v>46447</v>
      </c>
      <c r="E174" s="306">
        <f t="shared" si="10"/>
        <v>14.974422741037811</v>
      </c>
    </row>
    <row r="175" spans="4:5" x14ac:dyDescent="0.3">
      <c r="D175" s="54">
        <v>46478</v>
      </c>
      <c r="E175" s="306">
        <f t="shared" si="10"/>
        <v>14.369122860448368</v>
      </c>
    </row>
    <row r="176" spans="4:5" x14ac:dyDescent="0.3">
      <c r="D176" s="54">
        <v>46508</v>
      </c>
      <c r="E176" s="306">
        <f t="shared" si="10"/>
        <v>14.242084613904904</v>
      </c>
    </row>
    <row r="177" spans="4:5" x14ac:dyDescent="0.3">
      <c r="D177" s="54">
        <v>46539</v>
      </c>
      <c r="E177" s="306">
        <f t="shared" si="10"/>
        <v>14.219666099808999</v>
      </c>
    </row>
    <row r="178" spans="4:5" x14ac:dyDescent="0.3">
      <c r="D178" s="54">
        <v>46569</v>
      </c>
      <c r="E178" s="306">
        <f t="shared" si="10"/>
        <v>14.264503128000813</v>
      </c>
    </row>
    <row r="179" spans="4:5" x14ac:dyDescent="0.3">
      <c r="D179" s="54">
        <v>46600</v>
      </c>
      <c r="E179" s="306">
        <f t="shared" si="10"/>
        <v>14.301867318160653</v>
      </c>
    </row>
    <row r="180" spans="4:5" x14ac:dyDescent="0.3">
      <c r="D180" s="54">
        <v>46631</v>
      </c>
      <c r="E180" s="306">
        <f t="shared" si="10"/>
        <v>14.436378402736082</v>
      </c>
    </row>
    <row r="181" spans="4:5" x14ac:dyDescent="0.3">
      <c r="D181" s="54">
        <v>46661</v>
      </c>
      <c r="E181" s="306">
        <f t="shared" si="10"/>
        <v>14.172541246269997</v>
      </c>
    </row>
    <row r="182" spans="4:5" x14ac:dyDescent="0.3">
      <c r="D182" s="54">
        <v>46692</v>
      </c>
      <c r="E182" s="306">
        <f t="shared" si="10"/>
        <v>14.854423602342671</v>
      </c>
    </row>
    <row r="183" spans="4:5" x14ac:dyDescent="0.3">
      <c r="D183" s="54">
        <v>46722</v>
      </c>
      <c r="E183" s="306">
        <f t="shared" si="10"/>
        <v>15.387336164408479</v>
      </c>
    </row>
    <row r="184" spans="4:5" x14ac:dyDescent="0.3">
      <c r="D184" s="54">
        <v>46753</v>
      </c>
      <c r="E184" s="306">
        <f t="shared" ref="E184:E195" si="11">B$19*$H4</f>
        <v>16.63431053473861</v>
      </c>
    </row>
    <row r="185" spans="4:5" x14ac:dyDescent="0.3">
      <c r="D185" s="54">
        <v>46784</v>
      </c>
      <c r="E185" s="306">
        <f t="shared" si="11"/>
        <v>16.528247619846056</v>
      </c>
    </row>
    <row r="186" spans="4:5" x14ac:dyDescent="0.3">
      <c r="D186" s="54">
        <v>46813</v>
      </c>
      <c r="E186" s="306">
        <f t="shared" si="11"/>
        <v>16.348756533104833</v>
      </c>
    </row>
    <row r="187" spans="4:5" x14ac:dyDescent="0.3">
      <c r="D187" s="54">
        <v>46844</v>
      </c>
      <c r="E187" s="306">
        <f t="shared" si="11"/>
        <v>15.687902986466653</v>
      </c>
    </row>
    <row r="188" spans="4:5" x14ac:dyDescent="0.3">
      <c r="D188" s="54">
        <v>46874</v>
      </c>
      <c r="E188" s="306">
        <f t="shared" si="11"/>
        <v>15.549205328530245</v>
      </c>
    </row>
    <row r="189" spans="4:5" x14ac:dyDescent="0.3">
      <c r="D189" s="54">
        <v>46905</v>
      </c>
      <c r="E189" s="306">
        <f t="shared" si="11"/>
        <v>15.524729271247349</v>
      </c>
    </row>
    <row r="190" spans="4:5" x14ac:dyDescent="0.3">
      <c r="D190" s="54">
        <v>46935</v>
      </c>
      <c r="E190" s="306">
        <f t="shared" si="11"/>
        <v>15.573681385813146</v>
      </c>
    </row>
    <row r="191" spans="4:5" x14ac:dyDescent="0.3">
      <c r="D191" s="54">
        <v>46966</v>
      </c>
      <c r="E191" s="306">
        <f t="shared" si="11"/>
        <v>15.614474814617969</v>
      </c>
    </row>
    <row r="192" spans="4:5" x14ac:dyDescent="0.3">
      <c r="D192" s="54">
        <v>46997</v>
      </c>
      <c r="E192" s="306">
        <f t="shared" si="11"/>
        <v>15.76133115831534</v>
      </c>
    </row>
    <row r="193" spans="4:5" x14ac:dyDescent="0.3">
      <c r="D193" s="54">
        <v>47027</v>
      </c>
      <c r="E193" s="306">
        <f t="shared" si="11"/>
        <v>15.473279357585172</v>
      </c>
    </row>
    <row r="194" spans="4:5" x14ac:dyDescent="0.3">
      <c r="D194" s="54">
        <v>47058</v>
      </c>
      <c r="E194" s="306">
        <f t="shared" si="11"/>
        <v>16.217744023531914</v>
      </c>
    </row>
    <row r="195" spans="4:5" x14ac:dyDescent="0.3">
      <c r="D195" s="54">
        <v>47088</v>
      </c>
      <c r="E195" s="306">
        <f t="shared" si="11"/>
        <v>16.799566634080385</v>
      </c>
    </row>
    <row r="196" spans="4:5" x14ac:dyDescent="0.3">
      <c r="D196" s="54">
        <v>47119</v>
      </c>
      <c r="E196" s="306">
        <f t="shared" ref="E196:E207" si="12">B$20*$H4</f>
        <v>18.160986752645581</v>
      </c>
    </row>
    <row r="197" spans="4:5" x14ac:dyDescent="0.3">
      <c r="D197" s="54">
        <v>47150</v>
      </c>
      <c r="E197" s="306">
        <f t="shared" si="12"/>
        <v>18.045189516067126</v>
      </c>
    </row>
    <row r="198" spans="4:5" x14ac:dyDescent="0.3">
      <c r="D198" s="54">
        <v>47178</v>
      </c>
      <c r="E198" s="306">
        <f t="shared" si="12"/>
        <v>17.849224961857452</v>
      </c>
    </row>
    <row r="199" spans="4:5" x14ac:dyDescent="0.3">
      <c r="D199" s="54">
        <v>47209</v>
      </c>
      <c r="E199" s="306">
        <f t="shared" si="12"/>
        <v>17.127719103176339</v>
      </c>
    </row>
    <row r="200" spans="4:5" x14ac:dyDescent="0.3">
      <c r="D200" s="54">
        <v>47239</v>
      </c>
      <c r="E200" s="306">
        <f t="shared" si="12"/>
        <v>16.976291947650676</v>
      </c>
    </row>
    <row r="201" spans="4:5" x14ac:dyDescent="0.3">
      <c r="D201" s="54">
        <v>47270</v>
      </c>
      <c r="E201" s="306">
        <f t="shared" si="12"/>
        <v>16.949569508440263</v>
      </c>
    </row>
    <row r="202" spans="4:5" x14ac:dyDescent="0.3">
      <c r="D202" s="54">
        <v>47300</v>
      </c>
      <c r="E202" s="306">
        <f t="shared" si="12"/>
        <v>17.003014386861093</v>
      </c>
    </row>
    <row r="203" spans="4:5" x14ac:dyDescent="0.3">
      <c r="D203" s="54">
        <v>47331</v>
      </c>
      <c r="E203" s="306">
        <f t="shared" si="12"/>
        <v>17.047551785545107</v>
      </c>
    </row>
    <row r="204" spans="4:5" x14ac:dyDescent="0.3">
      <c r="D204" s="54">
        <v>47362</v>
      </c>
      <c r="E204" s="306">
        <f t="shared" si="12"/>
        <v>17.207886420807576</v>
      </c>
    </row>
    <row r="205" spans="4:5" x14ac:dyDescent="0.3">
      <c r="D205" s="54">
        <v>47392</v>
      </c>
      <c r="E205" s="306">
        <f t="shared" si="12"/>
        <v>16.893397586045751</v>
      </c>
    </row>
    <row r="206" spans="4:5" x14ac:dyDescent="0.3">
      <c r="D206" s="54">
        <v>47423</v>
      </c>
      <c r="E206" s="306">
        <f t="shared" si="12"/>
        <v>17.706188288000984</v>
      </c>
    </row>
    <row r="207" spans="4:5" x14ac:dyDescent="0.3">
      <c r="D207" s="54">
        <v>47453</v>
      </c>
      <c r="E207" s="306">
        <f t="shared" si="12"/>
        <v>18.341409850114648</v>
      </c>
    </row>
    <row r="208" spans="4:5" x14ac:dyDescent="0.3">
      <c r="D208" s="54">
        <v>47484</v>
      </c>
      <c r="E208" s="306">
        <f t="shared" ref="E208:E219" si="13">B$21*$H4</f>
        <v>19.827779404561365</v>
      </c>
    </row>
    <row r="209" spans="4:5" x14ac:dyDescent="0.3">
      <c r="D209" s="54">
        <v>47515</v>
      </c>
      <c r="E209" s="306">
        <f t="shared" si="13"/>
        <v>19.701354442426474</v>
      </c>
    </row>
    <row r="210" spans="4:5" x14ac:dyDescent="0.3">
      <c r="D210" s="54">
        <v>47543</v>
      </c>
      <c r="E210" s="306">
        <f t="shared" si="13"/>
        <v>19.487404506505918</v>
      </c>
    </row>
    <row r="211" spans="4:5" x14ac:dyDescent="0.3">
      <c r="D211" s="54">
        <v>47574</v>
      </c>
      <c r="E211" s="306">
        <f t="shared" si="13"/>
        <v>18.699679742434732</v>
      </c>
    </row>
    <row r="212" spans="4:5" x14ac:dyDescent="0.3">
      <c r="D212" s="54">
        <v>47604</v>
      </c>
      <c r="E212" s="306">
        <f t="shared" si="13"/>
        <v>18.534354791950655</v>
      </c>
    </row>
    <row r="213" spans="4:5" x14ac:dyDescent="0.3">
      <c r="D213" s="54">
        <v>47635</v>
      </c>
      <c r="E213" s="306">
        <f t="shared" si="13"/>
        <v>18.505179800688762</v>
      </c>
    </row>
    <row r="214" spans="4:5" x14ac:dyDescent="0.3">
      <c r="D214" s="54">
        <v>47665</v>
      </c>
      <c r="E214" s="306">
        <f t="shared" si="13"/>
        <v>18.563529783212559</v>
      </c>
    </row>
    <row r="215" spans="4:5" x14ac:dyDescent="0.3">
      <c r="D215" s="54">
        <v>47696</v>
      </c>
      <c r="E215" s="306">
        <f t="shared" si="13"/>
        <v>18.612154768649045</v>
      </c>
    </row>
    <row r="216" spans="4:5" x14ac:dyDescent="0.3">
      <c r="D216" s="54">
        <v>47727</v>
      </c>
      <c r="E216" s="306">
        <f t="shared" si="13"/>
        <v>18.787204716220419</v>
      </c>
    </row>
    <row r="217" spans="4:5" x14ac:dyDescent="0.3">
      <c r="D217" s="54">
        <v>47757</v>
      </c>
      <c r="E217" s="306">
        <f t="shared" si="13"/>
        <v>18.443852489505833</v>
      </c>
    </row>
    <row r="218" spans="4:5" x14ac:dyDescent="0.3">
      <c r="D218" s="54">
        <v>47788</v>
      </c>
      <c r="E218" s="306">
        <f t="shared" si="13"/>
        <v>19.331240105605453</v>
      </c>
    </row>
    <row r="219" spans="4:5" x14ac:dyDescent="0.3">
      <c r="D219" s="54">
        <v>47818</v>
      </c>
      <c r="E219" s="306">
        <f t="shared" si="13"/>
        <v>20.024761508277905</v>
      </c>
    </row>
    <row r="220" spans="4:5" x14ac:dyDescent="0.3">
      <c r="D220" s="54">
        <v>47849</v>
      </c>
      <c r="E220" s="306">
        <f t="shared" ref="E220:E231" si="14">B$22*$H4</f>
        <v>21.647548201568807</v>
      </c>
    </row>
    <row r="221" spans="4:5" x14ac:dyDescent="0.3">
      <c r="D221" s="54">
        <v>47880</v>
      </c>
      <c r="E221" s="306">
        <f t="shared" si="14"/>
        <v>21.509520114517013</v>
      </c>
    </row>
    <row r="222" spans="4:5" x14ac:dyDescent="0.3">
      <c r="D222" s="54">
        <v>47908</v>
      </c>
      <c r="E222" s="306">
        <f t="shared" si="14"/>
        <v>21.275934121044777</v>
      </c>
    </row>
    <row r="223" spans="4:5" x14ac:dyDescent="0.3">
      <c r="D223" s="54">
        <v>47939</v>
      </c>
      <c r="E223" s="306">
        <f t="shared" si="14"/>
        <v>20.415912963260585</v>
      </c>
    </row>
    <row r="224" spans="4:5" x14ac:dyDescent="0.3">
      <c r="D224" s="54">
        <v>47969</v>
      </c>
      <c r="E224" s="306">
        <f t="shared" si="14"/>
        <v>20.235414695577482</v>
      </c>
    </row>
    <row r="225" spans="4:5" x14ac:dyDescent="0.3">
      <c r="D225" s="54">
        <v>48000</v>
      </c>
      <c r="E225" s="306">
        <f t="shared" si="14"/>
        <v>20.203562060103994</v>
      </c>
    </row>
    <row r="226" spans="4:5" x14ac:dyDescent="0.3">
      <c r="D226" s="54">
        <v>48030</v>
      </c>
      <c r="E226" s="306">
        <f t="shared" si="14"/>
        <v>20.267267331050977</v>
      </c>
    </row>
    <row r="227" spans="4:5" x14ac:dyDescent="0.3">
      <c r="D227" s="54">
        <v>48061</v>
      </c>
      <c r="E227" s="306">
        <f t="shared" si="14"/>
        <v>20.320355056840121</v>
      </c>
    </row>
    <row r="228" spans="4:5" x14ac:dyDescent="0.3">
      <c r="D228" s="54">
        <v>48092</v>
      </c>
      <c r="E228" s="306">
        <f t="shared" si="14"/>
        <v>20.511470869681052</v>
      </c>
    </row>
    <row r="229" spans="4:5" x14ac:dyDescent="0.3">
      <c r="D229" s="54">
        <v>48122</v>
      </c>
      <c r="E229" s="306">
        <f t="shared" si="14"/>
        <v>20.136606204997012</v>
      </c>
    </row>
    <row r="230" spans="4:5" x14ac:dyDescent="0.3">
      <c r="D230" s="54">
        <v>48153</v>
      </c>
      <c r="E230" s="306">
        <f t="shared" si="14"/>
        <v>21.10543714672983</v>
      </c>
    </row>
    <row r="231" spans="4:5" ht="15" thickBot="1" x14ac:dyDescent="0.35">
      <c r="D231" s="57">
        <v>48183</v>
      </c>
      <c r="E231" s="306">
        <f t="shared" si="14"/>
        <v>21.862609076417417</v>
      </c>
    </row>
    <row r="232" spans="4:5" x14ac:dyDescent="0.3">
      <c r="D232" s="58">
        <v>48214</v>
      </c>
      <c r="E232" s="306">
        <f t="shared" ref="E232:E243" si="15">B$23*$H4</f>
        <v>23.634333102951516</v>
      </c>
    </row>
    <row r="233" spans="4:5" x14ac:dyDescent="0.3">
      <c r="D233" s="59">
        <v>48245</v>
      </c>
      <c r="E233" s="306">
        <f t="shared" si="15"/>
        <v>23.483636970688888</v>
      </c>
    </row>
    <row r="234" spans="4:5" x14ac:dyDescent="0.3">
      <c r="D234" s="59">
        <v>48274</v>
      </c>
      <c r="E234" s="306">
        <f t="shared" si="15"/>
        <v>23.228612746859852</v>
      </c>
    </row>
    <row r="235" spans="4:5" x14ac:dyDescent="0.3">
      <c r="D235" s="59">
        <v>48305</v>
      </c>
      <c r="E235" s="306">
        <f t="shared" si="15"/>
        <v>22.289659922761992</v>
      </c>
    </row>
    <row r="236" spans="4:5" x14ac:dyDescent="0.3">
      <c r="D236" s="59">
        <v>48335</v>
      </c>
      <c r="E236" s="306">
        <f t="shared" si="15"/>
        <v>22.092595749803181</v>
      </c>
    </row>
    <row r="237" spans="4:5" x14ac:dyDescent="0.3">
      <c r="D237" s="59">
        <v>48366</v>
      </c>
      <c r="E237" s="306">
        <f t="shared" si="15"/>
        <v>22.057819719281039</v>
      </c>
    </row>
    <row r="238" spans="4:5" x14ac:dyDescent="0.3">
      <c r="D238" s="59">
        <v>48396</v>
      </c>
      <c r="E238" s="306">
        <f t="shared" si="15"/>
        <v>22.12737178032533</v>
      </c>
    </row>
    <row r="239" spans="4:5" x14ac:dyDescent="0.3">
      <c r="D239" s="59">
        <v>48427</v>
      </c>
      <c r="E239" s="306">
        <f t="shared" si="15"/>
        <v>22.185331831195565</v>
      </c>
    </row>
    <row r="240" spans="4:5" x14ac:dyDescent="0.3">
      <c r="D240" s="59">
        <v>48458</v>
      </c>
      <c r="E240" s="306">
        <f t="shared" si="15"/>
        <v>22.393988014328421</v>
      </c>
    </row>
    <row r="241" spans="4:5" x14ac:dyDescent="0.3">
      <c r="D241" s="59">
        <v>48488</v>
      </c>
      <c r="E241" s="306">
        <f t="shared" si="15"/>
        <v>21.984718739527739</v>
      </c>
    </row>
    <row r="242" spans="4:5" x14ac:dyDescent="0.3">
      <c r="D242" s="59">
        <v>48519</v>
      </c>
      <c r="E242" s="306">
        <f t="shared" si="15"/>
        <v>23.042467773466846</v>
      </c>
    </row>
    <row r="243" spans="4:5" x14ac:dyDescent="0.3">
      <c r="D243" s="271">
        <v>48549</v>
      </c>
      <c r="E243" s="306">
        <f t="shared" si="15"/>
        <v>23.869131995937277</v>
      </c>
    </row>
    <row r="244" spans="4:5" x14ac:dyDescent="0.3">
      <c r="D244" s="286"/>
      <c r="E244" s="49"/>
    </row>
    <row r="245" spans="4:5" x14ac:dyDescent="0.3">
      <c r="D245" s="286"/>
      <c r="E245" s="49"/>
    </row>
    <row r="246" spans="4:5" x14ac:dyDescent="0.3">
      <c r="D246" s="286"/>
      <c r="E246" s="49"/>
    </row>
    <row r="247" spans="4:5" x14ac:dyDescent="0.3">
      <c r="D247" s="286"/>
      <c r="E247" s="49"/>
    </row>
    <row r="248" spans="4:5" x14ac:dyDescent="0.3">
      <c r="D248" s="286"/>
      <c r="E248" s="49"/>
    </row>
    <row r="249" spans="4:5" x14ac:dyDescent="0.3">
      <c r="D249" s="286"/>
      <c r="E249" s="49"/>
    </row>
    <row r="250" spans="4:5" x14ac:dyDescent="0.3">
      <c r="D250" s="286"/>
      <c r="E250" s="49"/>
    </row>
    <row r="251" spans="4:5" x14ac:dyDescent="0.3">
      <c r="D251" s="286"/>
      <c r="E251" s="49"/>
    </row>
    <row r="252" spans="4:5" x14ac:dyDescent="0.3">
      <c r="D252" s="286"/>
      <c r="E252" s="49"/>
    </row>
    <row r="253" spans="4:5" x14ac:dyDescent="0.3">
      <c r="D253" s="286"/>
      <c r="E253" s="49"/>
    </row>
    <row r="254" spans="4:5" x14ac:dyDescent="0.3">
      <c r="D254" s="286"/>
      <c r="E254" s="49"/>
    </row>
    <row r="255" spans="4:5" x14ac:dyDescent="0.3">
      <c r="D255" s="286"/>
      <c r="E255" s="49"/>
    </row>
    <row r="256" spans="4:5" x14ac:dyDescent="0.3">
      <c r="D256" s="286"/>
      <c r="E256" s="49"/>
    </row>
    <row r="257" spans="4:5" x14ac:dyDescent="0.3">
      <c r="D257" s="286"/>
      <c r="E257" s="49"/>
    </row>
    <row r="258" spans="4:5" x14ac:dyDescent="0.3">
      <c r="D258" s="286"/>
      <c r="E258" s="49"/>
    </row>
    <row r="259" spans="4:5" x14ac:dyDescent="0.3">
      <c r="D259" s="286"/>
      <c r="E259" s="49"/>
    </row>
    <row r="260" spans="4:5" x14ac:dyDescent="0.3">
      <c r="D260" s="286"/>
      <c r="E260" s="49"/>
    </row>
    <row r="261" spans="4:5" x14ac:dyDescent="0.3">
      <c r="D261" s="286"/>
      <c r="E261" s="49"/>
    </row>
    <row r="262" spans="4:5" x14ac:dyDescent="0.3">
      <c r="D262" s="286"/>
      <c r="E262" s="49"/>
    </row>
    <row r="263" spans="4:5" x14ac:dyDescent="0.3">
      <c r="D263" s="286"/>
      <c r="E263" s="49"/>
    </row>
    <row r="264" spans="4:5" x14ac:dyDescent="0.3">
      <c r="D264" s="286"/>
      <c r="E264" s="49"/>
    </row>
    <row r="265" spans="4:5" x14ac:dyDescent="0.3">
      <c r="D265" s="286"/>
      <c r="E265" s="49"/>
    </row>
    <row r="266" spans="4:5" x14ac:dyDescent="0.3">
      <c r="D266" s="286"/>
      <c r="E266" s="49"/>
    </row>
    <row r="267" spans="4:5" x14ac:dyDescent="0.3">
      <c r="D267" s="286"/>
      <c r="E267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KeyInputs&amp;Result</vt:lpstr>
      <vt:lpstr>Weight_%Purch</vt:lpstr>
      <vt:lpstr>LevelizedAvoidedCost</vt:lpstr>
      <vt:lpstr>LTForecast</vt:lpstr>
      <vt:lpstr>MonthlyWorksheet</vt:lpstr>
      <vt:lpstr>Carbon Price</vt:lpstr>
      <vt:lpstr>GasPrice</vt:lpstr>
      <vt:lpstr>Sheet1</vt:lpstr>
      <vt:lpstr>CarbonPrice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09000333</dc:creator>
  <cp:lastModifiedBy>Douglas, Tina  (PUC)</cp:lastModifiedBy>
  <cp:lastPrinted>2012-01-07T13:48:25Z</cp:lastPrinted>
  <dcterms:created xsi:type="dcterms:W3CDTF">2011-11-11T17:22:58Z</dcterms:created>
  <dcterms:modified xsi:type="dcterms:W3CDTF">2012-11-21T22:10:15Z</dcterms:modified>
</cp:coreProperties>
</file>