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592"/>
  </bookViews>
  <sheets>
    <sheet name="Assumptions" sheetId="1" r:id="rId1"/>
    <sheet name="Results" sheetId="2" r:id="rId2"/>
    <sheet name="Fuel Usage" sheetId="5" r:id="rId3"/>
    <sheet name="MACRS Table" sheetId="3" r:id="rId4"/>
  </sheets>
  <definedNames>
    <definedName name="_xlnm.Print_Area" localSheetId="0">Assumptions!$A$1:$K$37</definedName>
    <definedName name="_xlnm.Print_Area" localSheetId="2">'Fuel Usage'!$A$1:$D$19</definedName>
    <definedName name="_xlnm.Print_Area" localSheetId="1">Results!$A$1:$H$58</definedName>
    <definedName name="_xlnm.Print_Titles" localSheetId="2">'Fuel Usage'!#REF!</definedName>
  </definedNames>
  <calcPr calcId="152511" iterate="1" iterateCount="300" iterateDelta="1E-4" calcOnSave="0"/>
</workbook>
</file>

<file path=xl/calcChain.xml><?xml version="1.0" encoding="utf-8"?>
<calcChain xmlns="http://schemas.openxmlformats.org/spreadsheetml/2006/main">
  <c r="E13" i="2" l="1"/>
  <c r="E12" i="2"/>
  <c r="H35" i="1"/>
  <c r="H37" i="1" s="1"/>
  <c r="I37" i="1" s="1"/>
  <c r="D13" i="2"/>
  <c r="F13" i="2" s="1"/>
  <c r="D12" i="2"/>
  <c r="P15" i="1"/>
  <c r="Q11" i="1"/>
  <c r="Q12" i="1" s="1"/>
  <c r="C13" i="5"/>
  <c r="C9" i="5"/>
  <c r="C3" i="5"/>
  <c r="C4" i="5" s="1"/>
  <c r="C7" i="5"/>
  <c r="I21" i="1"/>
  <c r="P18" i="1"/>
  <c r="I11" i="1" s="1"/>
  <c r="G15" i="2" s="1"/>
  <c r="G37" i="2"/>
  <c r="I32" i="1"/>
  <c r="I31" i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1" i="2"/>
  <c r="B9" i="3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A2" i="2"/>
  <c r="G27" i="2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F12" i="2"/>
  <c r="C6" i="5" l="1"/>
  <c r="C8" i="5" s="1"/>
  <c r="C10" i="5" s="1"/>
  <c r="C11" i="5" s="1"/>
  <c r="C12" i="5" s="1"/>
  <c r="C5" i="5"/>
  <c r="I7" i="1"/>
  <c r="G7" i="2" s="1"/>
  <c r="H15" i="2" s="1"/>
  <c r="I15" i="2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G44" i="2"/>
  <c r="I33" i="1"/>
  <c r="G32" i="3" l="1"/>
  <c r="G19" i="2"/>
  <c r="G10" i="2"/>
  <c r="C14" i="5"/>
  <c r="G17" i="2" s="1"/>
  <c r="I7" i="2" l="1"/>
  <c r="G12" i="2"/>
  <c r="G13" i="2"/>
  <c r="G21" i="2"/>
  <c r="H17" i="2"/>
  <c r="G45" i="2"/>
  <c r="I17" i="2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H19" i="2"/>
  <c r="G46" i="2"/>
  <c r="I19" i="2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X9" i="2" s="1"/>
  <c r="G45" i="3"/>
  <c r="S9" i="2" s="1"/>
  <c r="G38" i="3"/>
  <c r="L9" i="2" s="1"/>
  <c r="G35" i="3"/>
  <c r="G48" i="3"/>
  <c r="V9" i="2" s="1"/>
  <c r="G43" i="3"/>
  <c r="Q9" i="2" s="1"/>
  <c r="G40" i="3"/>
  <c r="N9" i="2" s="1"/>
  <c r="G42" i="3"/>
  <c r="G44" i="3"/>
  <c r="R9" i="2" s="1"/>
  <c r="G46" i="3"/>
  <c r="T9" i="2" s="1"/>
  <c r="G34" i="3"/>
  <c r="H34" i="3" s="1"/>
  <c r="H35" i="3" s="1"/>
  <c r="H36" i="3" s="1"/>
  <c r="H37" i="3" s="1"/>
  <c r="H38" i="3" s="1"/>
  <c r="H39" i="3" s="1"/>
  <c r="H40" i="3" s="1"/>
  <c r="G39" i="3"/>
  <c r="G37" i="3"/>
  <c r="K9" i="2" s="1"/>
  <c r="G41" i="3"/>
  <c r="O9" i="2" s="1"/>
  <c r="G47" i="3"/>
  <c r="U9" i="2" s="1"/>
  <c r="G49" i="3"/>
  <c r="G36" i="3"/>
  <c r="J9" i="2" s="1"/>
  <c r="W9" i="2"/>
  <c r="Y19" i="2"/>
  <c r="H41" i="3" l="1"/>
  <c r="H42" i="3" s="1"/>
  <c r="H43" i="3" s="1"/>
  <c r="H44" i="3" s="1"/>
  <c r="H45" i="3" s="1"/>
  <c r="H46" i="3" s="1"/>
  <c r="H47" i="3"/>
  <c r="H48" i="3" s="1"/>
  <c r="H49" i="3" s="1"/>
  <c r="H21" i="2"/>
  <c r="G47" i="2"/>
  <c r="G48" i="2" s="1"/>
  <c r="H13" i="2"/>
  <c r="G23" i="2"/>
  <c r="H23" i="2" s="1"/>
  <c r="G52" i="2"/>
  <c r="G25" i="2"/>
  <c r="H12" i="2"/>
  <c r="G30" i="2"/>
  <c r="G38" i="2" s="1"/>
  <c r="M9" i="2"/>
  <c r="P9" i="2"/>
  <c r="I9" i="2"/>
  <c r="I10" i="2" s="1"/>
  <c r="Y9" i="2"/>
  <c r="Z19" i="2"/>
  <c r="I13" i="2" l="1"/>
  <c r="I23" i="2" s="1"/>
  <c r="J7" i="2"/>
  <c r="J10" i="2" s="1"/>
  <c r="I12" i="2"/>
  <c r="I21" i="2"/>
  <c r="G35" i="2"/>
  <c r="G29" i="2"/>
  <c r="G42" i="2"/>
  <c r="G50" i="2" s="1"/>
  <c r="G54" i="2" s="1"/>
  <c r="G56" i="2" s="1"/>
  <c r="G58" i="2" s="1"/>
  <c r="G60" i="2" s="1"/>
  <c r="H25" i="2"/>
  <c r="Z9" i="2"/>
  <c r="AA19" i="2"/>
  <c r="I25" i="2" l="1"/>
  <c r="I29" i="2" s="1"/>
  <c r="K7" i="2"/>
  <c r="K10" i="2" s="1"/>
  <c r="J13" i="2"/>
  <c r="J23" i="2" s="1"/>
  <c r="J12" i="2"/>
  <c r="J25" i="2" s="1"/>
  <c r="J29" i="2" s="1"/>
  <c r="J21" i="2"/>
  <c r="AB19" i="2"/>
  <c r="AA9" i="2"/>
  <c r="K12" i="2" l="1"/>
  <c r="K21" i="2"/>
  <c r="L7" i="2"/>
  <c r="L10" i="2" s="1"/>
  <c r="K13" i="2"/>
  <c r="K23" i="2" s="1"/>
  <c r="AC19" i="2"/>
  <c r="AB9" i="2"/>
  <c r="L21" i="2" l="1"/>
  <c r="L12" i="2"/>
  <c r="L13" i="2"/>
  <c r="L23" i="2" s="1"/>
  <c r="M7" i="2"/>
  <c r="M10" i="2" s="1"/>
  <c r="K25" i="2"/>
  <c r="K29" i="2" s="1"/>
  <c r="AD19" i="2"/>
  <c r="AC9" i="2"/>
  <c r="L25" i="2" l="1"/>
  <c r="L29" i="2" s="1"/>
  <c r="M21" i="2"/>
  <c r="M13" i="2"/>
  <c r="M23" i="2" s="1"/>
  <c r="N7" i="2"/>
  <c r="N10" i="2" s="1"/>
  <c r="M12" i="2"/>
  <c r="AE19" i="2"/>
  <c r="AD9" i="2"/>
  <c r="M25" i="2" l="1"/>
  <c r="M29" i="2" s="1"/>
  <c r="N13" i="2"/>
  <c r="N23" i="2" s="1"/>
  <c r="N12" i="2"/>
  <c r="N21" i="2"/>
  <c r="O7" i="2"/>
  <c r="O10" i="2" s="1"/>
  <c r="AE9" i="2"/>
  <c r="AF19" i="2"/>
  <c r="AF9" i="2" s="1"/>
  <c r="N25" i="2" l="1"/>
  <c r="N29" i="2" s="1"/>
  <c r="O12" i="2"/>
  <c r="P7" i="2"/>
  <c r="P10" i="2" s="1"/>
  <c r="O13" i="2"/>
  <c r="O23" i="2" s="1"/>
  <c r="O21" i="2"/>
  <c r="P12" i="2" l="1"/>
  <c r="P21" i="2"/>
  <c r="P13" i="2"/>
  <c r="P23" i="2" s="1"/>
  <c r="Q7" i="2"/>
  <c r="Q10" i="2" s="1"/>
  <c r="O25" i="2"/>
  <c r="O29" i="2" s="1"/>
  <c r="Q12" i="2" l="1"/>
  <c r="Q13" i="2"/>
  <c r="Q23" i="2" s="1"/>
  <c r="R7" i="2"/>
  <c r="R10" i="2" s="1"/>
  <c r="Q21" i="2"/>
  <c r="P25" i="2"/>
  <c r="P29" i="2" s="1"/>
  <c r="R13" i="2" l="1"/>
  <c r="R23" i="2" s="1"/>
  <c r="R12" i="2"/>
  <c r="S7" i="2"/>
  <c r="S10" i="2" s="1"/>
  <c r="R21" i="2"/>
  <c r="Q25" i="2"/>
  <c r="Q29" i="2" s="1"/>
  <c r="R25" i="2" l="1"/>
  <c r="R29" i="2" s="1"/>
  <c r="S12" i="2"/>
  <c r="S21" i="2"/>
  <c r="T7" i="2"/>
  <c r="T10" i="2" s="1"/>
  <c r="S13" i="2"/>
  <c r="S23" i="2" s="1"/>
  <c r="T21" i="2" l="1"/>
  <c r="U7" i="2"/>
  <c r="U10" i="2" s="1"/>
  <c r="T13" i="2"/>
  <c r="T23" i="2" s="1"/>
  <c r="T12" i="2"/>
  <c r="T25" i="2" s="1"/>
  <c r="T29" i="2" s="1"/>
  <c r="S25" i="2"/>
  <c r="S29" i="2" s="1"/>
  <c r="U21" i="2" l="1"/>
  <c r="U12" i="2"/>
  <c r="U13" i="2"/>
  <c r="U23" i="2" s="1"/>
  <c r="V7" i="2"/>
  <c r="V10" i="2" s="1"/>
  <c r="V12" i="2" l="1"/>
  <c r="V21" i="2"/>
  <c r="W7" i="2"/>
  <c r="W10" i="2" s="1"/>
  <c r="V13" i="2"/>
  <c r="V23" i="2" s="1"/>
  <c r="U25" i="2"/>
  <c r="U29" i="2" s="1"/>
  <c r="X7" i="2" l="1"/>
  <c r="X10" i="2" s="1"/>
  <c r="W12" i="2"/>
  <c r="W13" i="2"/>
  <c r="W23" i="2" s="1"/>
  <c r="W21" i="2"/>
  <c r="V25" i="2"/>
  <c r="V29" i="2" s="1"/>
  <c r="W25" i="2" l="1"/>
  <c r="W29" i="2" s="1"/>
  <c r="X21" i="2"/>
  <c r="X12" i="2"/>
  <c r="X13" i="2"/>
  <c r="X23" i="2" s="1"/>
  <c r="Y7" i="2"/>
  <c r="Y10" i="2" s="1"/>
  <c r="X25" i="2" l="1"/>
  <c r="X29" i="2" s="1"/>
  <c r="Y12" i="2"/>
  <c r="Y13" i="2"/>
  <c r="Y23" i="2" s="1"/>
  <c r="Y21" i="2"/>
  <c r="Z7" i="2"/>
  <c r="Z10" i="2" s="1"/>
  <c r="Z21" i="2" l="1"/>
  <c r="AA7" i="2"/>
  <c r="AA10" i="2" s="1"/>
  <c r="Z13" i="2"/>
  <c r="Z23" i="2" s="1"/>
  <c r="Z12" i="2"/>
  <c r="Y25" i="2"/>
  <c r="Y29" i="2" s="1"/>
  <c r="Z25" i="2" l="1"/>
  <c r="Z29" i="2" s="1"/>
  <c r="AA13" i="2"/>
  <c r="AA23" i="2" s="1"/>
  <c r="AA12" i="2"/>
  <c r="AA21" i="2"/>
  <c r="AB7" i="2"/>
  <c r="AB10" i="2" s="1"/>
  <c r="AA25" i="2" l="1"/>
  <c r="AA29" i="2" s="1"/>
  <c r="AB12" i="2"/>
  <c r="AB13" i="2"/>
  <c r="AB23" i="2" s="1"/>
  <c r="AB21" i="2"/>
  <c r="AC7" i="2"/>
  <c r="AC10" i="2" s="1"/>
  <c r="AB25" i="2" l="1"/>
  <c r="AB29" i="2" s="1"/>
  <c r="AD7" i="2"/>
  <c r="AD10" i="2" s="1"/>
  <c r="AC13" i="2"/>
  <c r="AC23" i="2" s="1"/>
  <c r="AC21" i="2"/>
  <c r="AC12" i="2"/>
  <c r="AC25" i="2" l="1"/>
  <c r="AC29" i="2" s="1"/>
  <c r="AD21" i="2"/>
  <c r="AD12" i="2"/>
  <c r="AD13" i="2"/>
  <c r="AD23" i="2" s="1"/>
  <c r="AE7" i="2"/>
  <c r="AE10" i="2" s="1"/>
  <c r="AE13" i="2" l="1"/>
  <c r="AE23" i="2" s="1"/>
  <c r="AE12" i="2"/>
  <c r="AE21" i="2"/>
  <c r="AF7" i="2"/>
  <c r="AF10" i="2" s="1"/>
  <c r="AD25" i="2"/>
  <c r="AD29" i="2" s="1"/>
  <c r="AE25" i="2" l="1"/>
  <c r="AE29" i="2" s="1"/>
  <c r="AF12" i="2"/>
  <c r="AF13" i="2"/>
  <c r="AF23" i="2" s="1"/>
  <c r="AF21" i="2"/>
  <c r="AF25" i="2" l="1"/>
  <c r="G26" i="2" l="1"/>
  <c r="I34" i="2" s="1"/>
  <c r="AF29" i="2"/>
  <c r="G31" i="2"/>
</calcChain>
</file>

<file path=xl/sharedStrings.xml><?xml version="1.0" encoding="utf-8"?>
<sst xmlns="http://schemas.openxmlformats.org/spreadsheetml/2006/main" count="128" uniqueCount="122">
  <si>
    <t>Total Revenue Requirement</t>
  </si>
  <si>
    <t>O&amp;M Exp</t>
  </si>
  <si>
    <t>Depr Exp</t>
  </si>
  <si>
    <t>Operating Income Before Interest</t>
  </si>
  <si>
    <t>Operating Income b/f Fed Inc Tax</t>
  </si>
  <si>
    <t>Year 21</t>
  </si>
  <si>
    <t>Year 22</t>
  </si>
  <si>
    <t>Year 23</t>
  </si>
  <si>
    <t>Year 24</t>
  </si>
  <si>
    <t>Year 25</t>
  </si>
  <si>
    <t>Annual O&amp;M Inflation Factor</t>
  </si>
  <si>
    <t>Total Retail Sales for each State (MWh)</t>
  </si>
  <si>
    <t>Operating Expenses</t>
  </si>
  <si>
    <t>Difference</t>
  </si>
  <si>
    <t>Net Income</t>
  </si>
  <si>
    <t>Assumptions:</t>
  </si>
  <si>
    <t>Projected Capacity Factor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</si>
  <si>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</si>
  <si>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</si>
  <si>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</si>
  <si>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</si>
  <si>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</si>
  <si>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</si>
  <si>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</si>
  <si>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</si>
  <si>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</si>
  <si>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</si>
  <si>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</si>
  <si>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</si>
  <si>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</si>
  <si>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</si>
  <si>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</si>
  <si>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</si>
  <si>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</si>
  <si>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</si>
  <si>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</si>
  <si>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</si>
  <si>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Annual O&amp;M Amount</t>
  </si>
  <si>
    <t>Rate of Return</t>
  </si>
  <si>
    <t>Capital Cost</t>
  </si>
  <si>
    <t>Line</t>
  </si>
  <si>
    <t>No</t>
  </si>
  <si>
    <t>Rate Base Amount (line 1-3)</t>
  </si>
  <si>
    <t>Depreciation Expense</t>
  </si>
  <si>
    <t>Return on Equity</t>
  </si>
  <si>
    <t>Return on Equity (Structure &amp; Rate)</t>
  </si>
  <si>
    <t>Federal Tax Rate</t>
  </si>
  <si>
    <t>State Tax Rate</t>
  </si>
  <si>
    <t>Interest Expense</t>
  </si>
  <si>
    <t>Property Tax Expense</t>
  </si>
  <si>
    <t>Property Tax Expense as a % of Rate Base</t>
  </si>
  <si>
    <t>Fed/State Income Tax Expense</t>
  </si>
  <si>
    <t>Cost per MWh</t>
  </si>
  <si>
    <t>Projected Output (MWh's)</t>
  </si>
  <si>
    <t>Revenue Requirment Proof:</t>
  </si>
  <si>
    <t>TOTI</t>
  </si>
  <si>
    <t>Federal Income Tax</t>
  </si>
  <si>
    <t>Other Rate Base Reduction (Fed Tax)</t>
  </si>
  <si>
    <t>Federal Tax MACRS Depr. Life (# of years)</t>
  </si>
  <si>
    <t>Year</t>
  </si>
  <si>
    <t>MACRS Table</t>
  </si>
  <si>
    <t>Federal Tax Property Basis</t>
  </si>
  <si>
    <t>Original Cost</t>
  </si>
  <si>
    <t>Year 1 Tax Depr</t>
  </si>
  <si>
    <t>Year 2 Tax Depr</t>
  </si>
  <si>
    <t>Year 3 Tax Depr</t>
  </si>
  <si>
    <t>Year 4 Tax Depr</t>
  </si>
  <si>
    <t>Year 5 Tax Depr</t>
  </si>
  <si>
    <t>Year 6 Tax Depr</t>
  </si>
  <si>
    <t>Useful Life (yrs) (Book Purposes)</t>
  </si>
  <si>
    <t>Annual O&amp;M Cost</t>
  </si>
  <si>
    <t>Year 7 Tax Depr</t>
  </si>
  <si>
    <t>Year 8 Tax Depr</t>
  </si>
  <si>
    <t>Projected Retail Sales in MWh's</t>
  </si>
  <si>
    <t>Total net gneration output (MWh's)</t>
  </si>
  <si>
    <t>Annual O&amp;M Cost Detail</t>
  </si>
  <si>
    <t>Approx Current Revenue Req.</t>
  </si>
  <si>
    <t>Fuel Costs</t>
  </si>
  <si>
    <t>Average Heat Rate</t>
  </si>
  <si>
    <t>CIG 10 Year Forward Average Price</t>
  </si>
  <si>
    <t>Tax Life in Years - Half Year Convention</t>
  </si>
  <si>
    <t>Cost per KW Installed</t>
  </si>
  <si>
    <t>Installed Capacity</t>
  </si>
  <si>
    <t>Variable O&amp;M per MWh</t>
  </si>
  <si>
    <t>Year 9 Tax Depr</t>
  </si>
  <si>
    <t>Year 10 Tax Depr</t>
  </si>
  <si>
    <t>Year 11 Tax Depr</t>
  </si>
  <si>
    <t>Year 12 Tax Depr</t>
  </si>
  <si>
    <t>Year 13 Tax Depr</t>
  </si>
  <si>
    <t>Year 14 Tax Depr</t>
  </si>
  <si>
    <t>Year 15 Tax Depr</t>
  </si>
  <si>
    <t>Year 16 Tax Depr</t>
  </si>
  <si>
    <t>Fixed O&amp;M Per Year</t>
  </si>
  <si>
    <t>Actual</t>
  </si>
  <si>
    <t>Effective</t>
  </si>
  <si>
    <t>Net Present Value of the Revenue Requirement</t>
  </si>
  <si>
    <t>Discount Rate</t>
  </si>
  <si>
    <t>Natural Gas Ownership Option</t>
  </si>
  <si>
    <t>Percent Increase for New Gas Generation</t>
  </si>
  <si>
    <t>Total Revenue Req (lines 5 - 18)</t>
  </si>
  <si>
    <t>Average Revenue Req</t>
  </si>
  <si>
    <t>Average Revenue Increase over Current Revenue</t>
  </si>
  <si>
    <t>Generation Fuel Usage Calculations</t>
  </si>
  <si>
    <t>Gross Capacity KW</t>
  </si>
  <si>
    <t>Total Gross Projected kWh</t>
  </si>
  <si>
    <t>Less Facility Use (Aux)</t>
  </si>
  <si>
    <t>Assume 8% Aux Use</t>
  </si>
  <si>
    <t xml:space="preserve">  Subtotal of Total Output</t>
  </si>
  <si>
    <t>Input Factor from Assumptions Page</t>
  </si>
  <si>
    <t>Projected Net Generation kWh</t>
  </si>
  <si>
    <t>Heat Rate of the Generation Unit</t>
  </si>
  <si>
    <t>BTU's needed for Generation</t>
  </si>
  <si>
    <t>Equivalent MMBtu's</t>
  </si>
  <si>
    <t>MMBtu's used per day on average (not peak)</t>
  </si>
  <si>
    <t>Average Gas usage per day</t>
  </si>
  <si>
    <t>Price per MMBtu</t>
  </si>
  <si>
    <t>Total Cost for Gas</t>
  </si>
  <si>
    <t>Black Hills Power</t>
  </si>
  <si>
    <t>Total Capital:</t>
  </si>
  <si>
    <t>New 40MW Simple Cycle</t>
  </si>
  <si>
    <t>Total Fixed Costs</t>
  </si>
  <si>
    <t>Price per Month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</si>
</sst>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0.000%"/>
    <numFmt numFmtId="169" formatCode="#,##0.000_);[Red]\(#,##0.000\)"/>
    <numFmt numFmtId="170" formatCode="_(&quot;$&quot;* #,##0_);[Red]_(&quot;$&quot;* \(#,##0\);_(&quot;$&quot;* &quot;0&quot;_);_(@_)"/>
    <numFmt numFmtId="171" formatCode="_(&quot;$&quot;* #,##0.00_);[Red]_(&quot;$&quot;* \(#,##0.00\);_(&quot;$&quot;* &quot;0.00&quot;_);_(@_)"/>
    <numFmt numFmtId="172" formatCode="_(&quot;$&quot;* #,##0.000_);[Red]_(&quot;$&quot;* \(#,##0.000\);_(&quot;$&quot;* &quot;0.000&quot;_);_(@_)"/>
    <numFmt numFmtId="173" formatCode="_(&quot;$&quot;* #,##0.00000_);[Red]_(&quot;$&quot;* \(#,##0.00000\);_(&quot;$&quot;* &quot;0.00000&quot;_);_(@_)"/>
    <numFmt numFmtId="174" formatCode="[$-409]mmm\-yy;@"/>
    <numFmt numFmtId="175" formatCode="0.00_)"/>
    <numFmt numFmtId="176" formatCode="0%;\(0\)%"/>
    <numFmt numFmtId="177" formatCode="0.00%;\(0.00\)%"/>
    <numFmt numFmtId="178" formatCode="_(* #,##0.0000_);_(* \(#,##0.0000\);_(* &quot;-&quot;??_);_(@_)"/>
  </numFmts>
  <fonts count="3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12"/>
      <name val="Times New Roman"/>
      <family val="1"/>
    </font>
    <font>
      <sz val="12"/>
      <color indexed="16"/>
      <name val="Times New Roman"/>
      <family val="1"/>
    </font>
    <font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u/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8"/>
      <name val="Helvetic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164" fontId="4" fillId="0" borderId="1" applyNumberFormat="0" applyFill="0" applyBorder="0" applyAlignment="0" applyProtection="0">
      <alignment horizontal="right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64" fontId="6" fillId="0" borderId="1" applyNumberFormat="0" applyFill="0" applyBorder="0" applyAlignment="0" applyProtection="0"/>
    <xf numFmtId="10" fontId="7" fillId="0" borderId="1" applyNumberFormat="0" applyFill="0" applyBorder="0" applyAlignment="0" applyProtection="0">
      <alignment horizontal="right"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64" fontId="8" fillId="0" borderId="1" applyNumberFormat="0" applyFill="0" applyBorder="0" applyAlignment="0" applyProtection="0">
      <alignment horizontal="right"/>
    </xf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43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2" borderId="0" applyNumberFormat="0" applyBorder="0" applyAlignment="0" applyProtection="0"/>
    <xf numFmtId="0" fontId="18" fillId="0" borderId="0">
      <alignment horizontal="left"/>
    </xf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10" fontId="17" fillId="23" borderId="1" applyNumberFormat="0" applyBorder="0" applyAlignment="0" applyProtection="0"/>
    <xf numFmtId="0" fontId="17" fillId="22" borderId="0"/>
    <xf numFmtId="0" fontId="23" fillId="0" borderId="7" applyNumberFormat="0" applyFill="0" applyAlignment="0" applyProtection="0"/>
    <xf numFmtId="0" fontId="24" fillId="24" borderId="0" applyNumberFormat="0" applyBorder="0" applyAlignment="0" applyProtection="0"/>
    <xf numFmtId="37" fontId="25" fillId="0" borderId="0"/>
    <xf numFmtId="175" fontId="26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33" fillId="0" borderId="0"/>
    <xf numFmtId="0" fontId="14" fillId="25" borderId="8" applyNumberFormat="0" applyFont="0" applyAlignment="0" applyProtection="0"/>
    <xf numFmtId="0" fontId="27" fillId="20" borderId="9" applyNumberFormat="0" applyAlignment="0" applyProtection="0"/>
    <xf numFmtId="9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28" fillId="0" borderId="10">
      <alignment horizontal="center"/>
    </xf>
    <xf numFmtId="3" fontId="3" fillId="0" borderId="0" applyFont="0" applyFill="0" applyBorder="0" applyAlignment="0" applyProtection="0"/>
    <xf numFmtId="0" fontId="3" fillId="26" borderId="0" applyNumberFormat="0" applyFont="0" applyBorder="0" applyAlignment="0" applyProtection="0"/>
    <xf numFmtId="38" fontId="1" fillId="27" borderId="0" applyNumberFormat="0" applyFont="0" applyBorder="0" applyAlignment="0" applyProtection="0"/>
    <xf numFmtId="37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0" fillId="0" borderId="12" xfId="0" applyBorder="1"/>
    <xf numFmtId="164" fontId="0" fillId="28" borderId="0" xfId="33" applyNumberFormat="1" applyFont="1" applyFill="1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5" fontId="0" fillId="28" borderId="0" xfId="39" applyNumberFormat="1" applyFont="1" applyFill="1" applyBorder="1"/>
    <xf numFmtId="164" fontId="0" fillId="28" borderId="0" xfId="33" applyNumberFormat="1" applyFont="1" applyFill="1" applyBorder="1" applyAlignment="1">
      <alignment horizontal="center"/>
    </xf>
    <xf numFmtId="10" fontId="0" fillId="28" borderId="0" xfId="71" applyNumberFormat="1" applyFont="1" applyFill="1" applyBorder="1"/>
    <xf numFmtId="0" fontId="0" fillId="0" borderId="0" xfId="0" applyAlignment="1">
      <alignment horizontal="center"/>
    </xf>
    <xf numFmtId="164" fontId="0" fillId="0" borderId="0" xfId="33" applyNumberFormat="1" applyFont="1"/>
    <xf numFmtId="0" fontId="0" fillId="0" borderId="18" xfId="0" applyBorder="1" applyAlignment="1">
      <alignment horizontal="center"/>
    </xf>
    <xf numFmtId="10" fontId="0" fillId="0" borderId="0" xfId="71" applyNumberFormat="1" applyFont="1" applyBorder="1"/>
    <xf numFmtId="0" fontId="0" fillId="0" borderId="0" xfId="0" applyFill="1" applyBorder="1"/>
    <xf numFmtId="166" fontId="0" fillId="28" borderId="0" xfId="71" applyNumberFormat="1" applyFont="1" applyFill="1" applyBorder="1"/>
    <xf numFmtId="164" fontId="0" fillId="0" borderId="15" xfId="33" applyNumberFormat="1" applyFont="1" applyBorder="1"/>
    <xf numFmtId="44" fontId="0" fillId="0" borderId="0" xfId="39" applyFont="1"/>
    <xf numFmtId="10" fontId="0" fillId="0" borderId="0" xfId="71" applyNumberFormat="1" applyFont="1"/>
    <xf numFmtId="178" fontId="0" fillId="0" borderId="0" xfId="33" applyNumberFormat="1" applyFont="1"/>
    <xf numFmtId="164" fontId="2" fillId="29" borderId="0" xfId="33" applyNumberFormat="1" applyFont="1" applyFill="1"/>
    <xf numFmtId="0" fontId="0" fillId="0" borderId="0" xfId="0" applyAlignment="1">
      <alignment horizontal="left"/>
    </xf>
    <xf numFmtId="164" fontId="0" fillId="0" borderId="0" xfId="33" applyNumberFormat="1" applyFont="1" applyBorder="1"/>
    <xf numFmtId="165" fontId="0" fillId="0" borderId="0" xfId="39" applyNumberFormat="1" applyFont="1"/>
    <xf numFmtId="0" fontId="0" fillId="30" borderId="0" xfId="0" applyFill="1"/>
    <xf numFmtId="0" fontId="2" fillId="30" borderId="0" xfId="0" applyFont="1" applyFill="1"/>
    <xf numFmtId="164" fontId="0" fillId="30" borderId="0" xfId="33" applyNumberFormat="1" applyFont="1" applyFill="1"/>
    <xf numFmtId="43" fontId="0" fillId="0" borderId="0" xfId="33" applyFont="1"/>
    <xf numFmtId="43" fontId="0" fillId="28" borderId="0" xfId="33" applyNumberFormat="1" applyFont="1" applyFill="1" applyBorder="1" applyAlignment="1">
      <alignment horizontal="center"/>
    </xf>
    <xf numFmtId="43" fontId="0" fillId="0" borderId="0" xfId="0" applyNumberFormat="1"/>
    <xf numFmtId="10" fontId="0" fillId="0" borderId="0" xfId="71" applyNumberFormat="1" applyFont="1" applyFill="1" applyBorder="1"/>
    <xf numFmtId="168" fontId="0" fillId="0" borderId="0" xfId="71" applyNumberFormat="1" applyFont="1"/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20" xfId="0" applyNumberFormat="1" applyBorder="1"/>
    <xf numFmtId="178" fontId="0" fillId="0" borderId="18" xfId="33" applyNumberFormat="1" applyFont="1" applyBorder="1"/>
    <xf numFmtId="165" fontId="1" fillId="0" borderId="0" xfId="39" applyNumberFormat="1"/>
    <xf numFmtId="165" fontId="1" fillId="0" borderId="0" xfId="39" applyNumberFormat="1" applyBorder="1"/>
    <xf numFmtId="164" fontId="14" fillId="0" borderId="0" xfId="33" applyNumberFormat="1" applyFont="1" applyBorder="1"/>
    <xf numFmtId="44" fontId="14" fillId="0" borderId="0" xfId="39" applyFont="1" applyBorder="1"/>
    <xf numFmtId="167" fontId="1" fillId="0" borderId="0" xfId="39" applyNumberFormat="1" applyBorder="1"/>
    <xf numFmtId="0" fontId="1" fillId="0" borderId="0" xfId="67" applyFont="1"/>
    <xf numFmtId="0" fontId="34" fillId="0" borderId="0" xfId="68" applyFont="1" applyBorder="1"/>
    <xf numFmtId="0" fontId="1" fillId="0" borderId="0" xfId="67"/>
    <xf numFmtId="164" fontId="14" fillId="0" borderId="0" xfId="33" applyNumberFormat="1" applyFont="1" applyFill="1"/>
    <xf numFmtId="0" fontId="34" fillId="0" borderId="0" xfId="68" applyFont="1" applyBorder="1" applyAlignment="1">
      <alignment horizontal="left"/>
    </xf>
    <xf numFmtId="0" fontId="34" fillId="0" borderId="0" xfId="68" applyFont="1" applyBorder="1" applyAlignment="1">
      <alignment horizontal="center"/>
    </xf>
    <xf numFmtId="0" fontId="1" fillId="0" borderId="0" xfId="67" quotePrefix="1" applyFont="1"/>
    <xf numFmtId="164" fontId="14" fillId="0" borderId="15" xfId="33" applyNumberFormat="1" applyFont="1" applyFill="1" applyBorder="1"/>
    <xf numFmtId="9" fontId="14" fillId="0" borderId="0" xfId="71" applyFont="1" applyFill="1" applyBorder="1"/>
    <xf numFmtId="168" fontId="34" fillId="0" borderId="0" xfId="68" applyNumberFormat="1" applyFont="1" applyBorder="1" applyAlignment="1">
      <alignment horizontal="left"/>
    </xf>
    <xf numFmtId="164" fontId="14" fillId="0" borderId="0" xfId="33" applyNumberFormat="1" applyFont="1" applyFill="1" applyBorder="1"/>
    <xf numFmtId="0" fontId="1" fillId="0" borderId="0" xfId="67" applyFont="1" applyFill="1"/>
    <xf numFmtId="0" fontId="1" fillId="0" borderId="0" xfId="67" applyFill="1"/>
    <xf numFmtId="164" fontId="1" fillId="0" borderId="0" xfId="33" applyNumberFormat="1" applyFont="1" applyFill="1"/>
    <xf numFmtId="165" fontId="14" fillId="0" borderId="0" xfId="39" applyNumberFormat="1" applyFont="1" applyFill="1"/>
    <xf numFmtId="0" fontId="1" fillId="0" borderId="0" xfId="67" applyBorder="1"/>
    <xf numFmtId="168" fontId="34" fillId="0" borderId="0" xfId="68" applyNumberFormat="1" applyFont="1" applyFill="1" applyBorder="1" applyAlignment="1">
      <alignment horizontal="left"/>
    </xf>
    <xf numFmtId="37" fontId="34" fillId="0" borderId="0" xfId="68" applyNumberFormat="1" applyFont="1" applyBorder="1"/>
    <xf numFmtId="168" fontId="34" fillId="0" borderId="0" xfId="68" applyNumberFormat="1" applyFont="1" applyFill="1" applyBorder="1"/>
    <xf numFmtId="164" fontId="1" fillId="0" borderId="0" xfId="67" applyNumberFormat="1" applyBorder="1"/>
    <xf numFmtId="43" fontId="1" fillId="0" borderId="0" xfId="67" applyNumberFormat="1" applyBorder="1"/>
    <xf numFmtId="168" fontId="34" fillId="0" borderId="0" xfId="68" applyNumberFormat="1" applyFont="1" applyBorder="1"/>
    <xf numFmtId="164" fontId="0" fillId="0" borderId="15" xfId="0" applyNumberFormat="1" applyBorder="1"/>
    <xf numFmtId="164" fontId="0" fillId="0" borderId="0" xfId="0" applyNumberFormat="1"/>
    <xf numFmtId="44" fontId="0" fillId="0" borderId="0" xfId="39" applyNumberFormat="1" applyFont="1"/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86">
    <cellStyle name="%" xfId="1"/>
    <cellStyle name="1-Black-Formula on Sheet" xfId="2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2-Blue-Input" xfId="9"/>
    <cellStyle name="3-DarkRed-Data Oth Wks" xfId="10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4-Dark Blue-Formula Oth Wks" xfId="17"/>
    <cellStyle name="60% - Accent1" xfId="18" builtinId="32" customBuiltin="1"/>
    <cellStyle name="60% - Accent2" xfId="19" builtinId="36" customBuiltin="1"/>
    <cellStyle name="60% - Accent3" xfId="20" builtinId="40" customBuiltin="1"/>
    <cellStyle name="60% - Accent4" xfId="21" builtinId="44" customBuiltin="1"/>
    <cellStyle name="60% - Accent5" xfId="22" builtinId="48" customBuiltin="1"/>
    <cellStyle name="60% - Accent6" xfId="23" builtinId="52" customBuiltin="1"/>
    <cellStyle name="Accent1" xfId="24" builtinId="29" customBuiltin="1"/>
    <cellStyle name="Accent2" xfId="25" builtinId="33" customBuiltin="1"/>
    <cellStyle name="Accent3" xfId="26" builtinId="37" customBuiltin="1"/>
    <cellStyle name="Accent4" xfId="27" builtinId="41" customBuiltin="1"/>
    <cellStyle name="Accent5" xfId="28" builtinId="45" customBuiltin="1"/>
    <cellStyle name="Accent6" xfId="29" builtinId="49" customBuiltin="1"/>
    <cellStyle name="Bad" xfId="30" builtinId="27" customBuiltin="1"/>
    <cellStyle name="Calculation" xfId="31" builtinId="22" customBuiltin="1"/>
    <cellStyle name="Check Cell" xfId="32" builtinId="23" customBuiltin="1"/>
    <cellStyle name="Comma" xfId="33" builtinId="3"/>
    <cellStyle name="Comma [0 Decimal]" xfId="34"/>
    <cellStyle name="Comma [2 Decimal]" xfId="35"/>
    <cellStyle name="Comma [3 Decimal]" xfId="36"/>
    <cellStyle name="Comma 2" xfId="37"/>
    <cellStyle name="Comma 3" xfId="38"/>
    <cellStyle name="Currency" xfId="39" builtinId="4"/>
    <cellStyle name="Currency [0 Decimal]" xfId="40"/>
    <cellStyle name="Currency [2 Decimal]" xfId="41"/>
    <cellStyle name="Currency [3 Decimal]" xfId="42"/>
    <cellStyle name="Currency [5 Decimal]" xfId="43"/>
    <cellStyle name="Currency 2" xfId="44"/>
    <cellStyle name="Currency 3" xfId="45"/>
    <cellStyle name="Date mmm-yy" xfId="46"/>
    <cellStyle name="Euro" xfId="47"/>
    <cellStyle name="Explanatory Text" xfId="48" builtinId="53" customBuiltin="1"/>
    <cellStyle name="Good" xfId="49" builtinId="26" customBuiltin="1"/>
    <cellStyle name="Grey" xfId="50"/>
    <cellStyle name="Header1" xfId="5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Input" xfId="56" builtinId="20" customBuiltin="1"/>
    <cellStyle name="Input [yellow]" xfId="57"/>
    <cellStyle name="Lines" xfId="58"/>
    <cellStyle name="Linked Cell" xfId="59" builtinId="24" customBuiltin="1"/>
    <cellStyle name="Neutral" xfId="60" builtinId="28" customBuiltin="1"/>
    <cellStyle name="no dec" xfId="61"/>
    <cellStyle name="Normal" xfId="0" builtinId="0"/>
    <cellStyle name="Normal - Style1" xfId="62"/>
    <cellStyle name="Normal 2" xfId="63"/>
    <cellStyle name="Normal 2 2" xfId="64"/>
    <cellStyle name="Normal 2 3" xfId="65"/>
    <cellStyle name="Normal 3" xfId="66"/>
    <cellStyle name="Normal_CLFP Busbar Costs - Wygen II" xfId="67"/>
    <cellStyle name="Normal_Wygen II" xfId="68"/>
    <cellStyle name="Note" xfId="69" builtinId="10" customBuiltin="1"/>
    <cellStyle name="Output" xfId="70" builtinId="21" customBuiltin="1"/>
    <cellStyle name="Percent" xfId="71" builtinId="5"/>
    <cellStyle name="Percent [0 Decimal]" xfId="72"/>
    <cellStyle name="Percent [2 Decimal]" xfId="73"/>
    <cellStyle name="Percent [2]" xfId="74"/>
    <cellStyle name="PSChar" xfId="75"/>
    <cellStyle name="PSDate" xfId="76"/>
    <cellStyle name="PSDec" xfId="77"/>
    <cellStyle name="PSHeading" xfId="78"/>
    <cellStyle name="PSInt" xfId="79"/>
    <cellStyle name="PSSpacer" xfId="80"/>
    <cellStyle name="Shade" xfId="81"/>
    <cellStyle name="Style 1" xfId="82"/>
    <cellStyle name="Title" xfId="83" builtinId="15" customBuiltin="1"/>
    <cellStyle name="Total" xfId="84" builtinId="25" customBuiltin="1"/>
    <cellStyle name="Warning Text" xfId="8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Q8" sqref="Q8"/>
    </sheetView>
  </sheetViews>
  <sheetFormatPr defaultRowHeight="13.2" x14ac:dyDescent="0.25"/>
  <cols>
    <col min="1" max="1" width="2.5546875" customWidth="1"/>
    <col min="2" max="2" width="2.33203125" customWidth="1"/>
    <col min="9" max="9" width="11.33203125" customWidth="1"/>
    <col min="12" max="12" width="20.33203125" bestFit="1" customWidth="1"/>
    <col min="16" max="16" width="10" style="15" customWidth="1"/>
    <col min="17" max="17" width="12.33203125" bestFit="1" customWidth="1"/>
  </cols>
  <sheetData>
    <row r="1" spans="1:17" x14ac:dyDescent="0.25">
      <c r="A1" t="s">
        <v>117</v>
      </c>
    </row>
    <row r="2" spans="1:17" x14ac:dyDescent="0.25">
      <c r="A2" t="s">
        <v>97</v>
      </c>
    </row>
    <row r="5" spans="1:17" x14ac:dyDescent="0.25">
      <c r="A5" s="5" t="s">
        <v>15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7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4"/>
    </row>
    <row r="7" spans="1:17" x14ac:dyDescent="0.25">
      <c r="A7" s="2"/>
      <c r="B7" s="1" t="s">
        <v>81</v>
      </c>
      <c r="C7" s="1"/>
      <c r="D7" s="1"/>
      <c r="E7" s="1"/>
      <c r="F7" s="1"/>
      <c r="G7" s="1"/>
      <c r="H7" s="1"/>
      <c r="I7" s="3">
        <f>+Q11/(I19*1000)</f>
        <v>1625</v>
      </c>
      <c r="J7" s="1"/>
      <c r="K7" s="4"/>
      <c r="M7" t="s">
        <v>118</v>
      </c>
    </row>
    <row r="8" spans="1:17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4"/>
      <c r="N8" t="s">
        <v>119</v>
      </c>
      <c r="Q8" s="15">
        <v>65000000</v>
      </c>
    </row>
    <row r="9" spans="1:17" x14ac:dyDescent="0.25">
      <c r="A9" s="2"/>
      <c r="B9" s="1" t="s">
        <v>58</v>
      </c>
      <c r="C9" s="1"/>
      <c r="D9" s="1"/>
      <c r="E9" s="1"/>
      <c r="F9" s="1"/>
      <c r="G9" s="1"/>
      <c r="H9" s="1"/>
      <c r="I9" s="3">
        <v>15</v>
      </c>
      <c r="J9" s="1"/>
      <c r="K9" s="4"/>
      <c r="Q9" s="15"/>
    </row>
    <row r="10" spans="1:17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4"/>
      <c r="Q10" s="15"/>
    </row>
    <row r="11" spans="1:17" x14ac:dyDescent="0.25">
      <c r="A11" s="2"/>
      <c r="B11" s="1" t="s">
        <v>70</v>
      </c>
      <c r="C11" s="1"/>
      <c r="D11" s="1"/>
      <c r="E11" s="1"/>
      <c r="F11" s="1"/>
      <c r="G11" s="1"/>
      <c r="H11" s="1"/>
      <c r="I11" s="11">
        <f>+P18</f>
        <v>390160</v>
      </c>
      <c r="J11" s="1"/>
      <c r="K11" s="4"/>
      <c r="Q11" s="67">
        <f>SUM(Q8:Q10)</f>
        <v>65000000</v>
      </c>
    </row>
    <row r="12" spans="1:17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4"/>
      <c r="Q12" s="68">
        <f>+Q11/I19</f>
        <v>1625000</v>
      </c>
    </row>
    <row r="13" spans="1:17" x14ac:dyDescent="0.25">
      <c r="A13" s="2"/>
      <c r="B13" s="1" t="s">
        <v>10</v>
      </c>
      <c r="C13" s="1"/>
      <c r="D13" s="1"/>
      <c r="E13" s="1"/>
      <c r="F13" s="1"/>
      <c r="G13" s="1"/>
      <c r="H13" s="1"/>
      <c r="I13" s="13">
        <v>2.5000000000000001E-2</v>
      </c>
      <c r="J13" s="1"/>
      <c r="K13" s="4"/>
      <c r="M13" t="s">
        <v>75</v>
      </c>
    </row>
    <row r="14" spans="1:17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4"/>
    </row>
    <row r="15" spans="1:17" x14ac:dyDescent="0.25">
      <c r="A15" s="2"/>
      <c r="B15" s="1" t="s">
        <v>69</v>
      </c>
      <c r="C15" s="1"/>
      <c r="D15" s="1"/>
      <c r="E15" s="1"/>
      <c r="F15" s="1"/>
      <c r="G15" s="1"/>
      <c r="H15" s="1"/>
      <c r="I15" s="3">
        <v>35</v>
      </c>
      <c r="J15" s="1"/>
      <c r="K15" s="4"/>
      <c r="M15" t="s">
        <v>83</v>
      </c>
      <c r="P15" s="15">
        <f>+I21*40</f>
        <v>140160</v>
      </c>
    </row>
    <row r="16" spans="1:17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4"/>
      <c r="M16" t="s">
        <v>92</v>
      </c>
      <c r="P16" s="15">
        <v>250000</v>
      </c>
    </row>
    <row r="17" spans="1:16" x14ac:dyDescent="0.25">
      <c r="A17" s="2"/>
      <c r="B17" s="1" t="s">
        <v>16</v>
      </c>
      <c r="C17" s="1"/>
      <c r="D17" s="1"/>
      <c r="E17" s="1"/>
      <c r="F17" s="1"/>
      <c r="G17" s="1"/>
      <c r="H17" s="1"/>
      <c r="I17" s="13">
        <v>0.01</v>
      </c>
      <c r="J17" s="1"/>
      <c r="K17" s="4"/>
    </row>
    <row r="18" spans="1:16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4"/>
      <c r="P18" s="20">
        <f>SUM(P14:P17)</f>
        <v>390160</v>
      </c>
    </row>
    <row r="19" spans="1:16" x14ac:dyDescent="0.25">
      <c r="A19" s="2"/>
      <c r="B19" s="1" t="s">
        <v>82</v>
      </c>
      <c r="C19" s="1"/>
      <c r="D19" s="1"/>
      <c r="E19" s="1"/>
      <c r="F19" s="1"/>
      <c r="G19" s="1"/>
      <c r="H19" s="1"/>
      <c r="I19" s="3">
        <v>40</v>
      </c>
      <c r="J19" s="1"/>
      <c r="K19" s="4"/>
    </row>
    <row r="20" spans="1:16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4"/>
    </row>
    <row r="21" spans="1:16" x14ac:dyDescent="0.25">
      <c r="A21" s="2"/>
      <c r="B21" s="1" t="s">
        <v>74</v>
      </c>
      <c r="C21" s="1"/>
      <c r="D21" s="1"/>
      <c r="E21" s="1"/>
      <c r="F21" s="1"/>
      <c r="G21" s="1"/>
      <c r="H21" s="1"/>
      <c r="I21" s="12">
        <f>+I19*8760*I17</f>
        <v>3504</v>
      </c>
      <c r="J21" s="1"/>
      <c r="K21" s="4"/>
      <c r="L21" s="31"/>
    </row>
    <row r="22" spans="1:16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4"/>
      <c r="L22" s="33"/>
    </row>
    <row r="23" spans="1:16" x14ac:dyDescent="0.25">
      <c r="A23" s="2"/>
      <c r="B23" s="1" t="s">
        <v>78</v>
      </c>
      <c r="C23" s="1"/>
      <c r="D23" s="1"/>
      <c r="E23" s="1"/>
      <c r="F23" s="1"/>
      <c r="G23" s="1"/>
      <c r="H23" s="1"/>
      <c r="I23" s="12">
        <v>9500</v>
      </c>
      <c r="J23" s="1"/>
      <c r="K23" s="4"/>
    </row>
    <row r="24" spans="1:16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4"/>
    </row>
    <row r="25" spans="1:16" x14ac:dyDescent="0.25">
      <c r="A25" s="2"/>
      <c r="B25" s="1" t="s">
        <v>79</v>
      </c>
      <c r="C25" s="1"/>
      <c r="D25" s="1"/>
      <c r="E25" s="1"/>
      <c r="F25" s="1"/>
      <c r="G25" s="1"/>
      <c r="H25" s="1"/>
      <c r="I25" s="32">
        <v>4.25</v>
      </c>
      <c r="J25" s="1"/>
      <c r="K25" s="4"/>
    </row>
    <row r="26" spans="1:16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4"/>
    </row>
    <row r="27" spans="1:16" x14ac:dyDescent="0.25">
      <c r="A27" s="2"/>
      <c r="B27" s="1" t="s">
        <v>73</v>
      </c>
      <c r="C27" s="1"/>
      <c r="D27" s="1"/>
      <c r="E27" s="1"/>
      <c r="F27" s="1"/>
      <c r="G27" s="1"/>
      <c r="H27" s="1"/>
      <c r="I27" s="3"/>
      <c r="J27" s="1"/>
      <c r="K27" s="4"/>
    </row>
    <row r="28" spans="1:16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4"/>
    </row>
    <row r="29" spans="1:16" x14ac:dyDescent="0.25">
      <c r="A29" s="2"/>
      <c r="B29" s="1" t="s">
        <v>50</v>
      </c>
      <c r="C29" s="1"/>
      <c r="D29" s="1"/>
      <c r="E29" s="1"/>
      <c r="F29" s="1"/>
      <c r="G29" s="1"/>
      <c r="H29" s="1"/>
      <c r="I29" s="13">
        <v>3.5000000000000001E-3</v>
      </c>
      <c r="J29" s="1"/>
      <c r="K29" s="4"/>
    </row>
    <row r="30" spans="1:16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4"/>
    </row>
    <row r="31" spans="1:16" x14ac:dyDescent="0.25">
      <c r="A31" s="2"/>
      <c r="B31" s="1" t="s">
        <v>45</v>
      </c>
      <c r="C31" s="1"/>
      <c r="D31" s="1"/>
      <c r="E31" s="1"/>
      <c r="F31" s="1"/>
      <c r="G31" s="17">
        <v>0.52</v>
      </c>
      <c r="H31" s="19">
        <v>0.105</v>
      </c>
      <c r="I31" s="17">
        <f>+G31*H31</f>
        <v>5.4600000000000003E-2</v>
      </c>
      <c r="J31" s="1"/>
      <c r="K31" s="4"/>
    </row>
    <row r="32" spans="1:16" x14ac:dyDescent="0.25">
      <c r="A32" s="2"/>
      <c r="B32" s="18" t="s">
        <v>48</v>
      </c>
      <c r="C32" s="1"/>
      <c r="D32" s="1"/>
      <c r="E32" s="1"/>
      <c r="F32" s="1"/>
      <c r="G32" s="17">
        <v>0.48</v>
      </c>
      <c r="H32" s="13">
        <v>6.25E-2</v>
      </c>
      <c r="I32" s="17">
        <f>+G32*H32</f>
        <v>0.03</v>
      </c>
      <c r="J32" s="1"/>
      <c r="K32" s="4"/>
    </row>
    <row r="33" spans="1:11" x14ac:dyDescent="0.25">
      <c r="A33" s="2"/>
      <c r="C33" s="1" t="s">
        <v>38</v>
      </c>
      <c r="D33" s="1"/>
      <c r="E33" s="1"/>
      <c r="F33" s="1"/>
      <c r="G33" s="1"/>
      <c r="H33" s="1"/>
      <c r="I33" s="13">
        <f>SUM(I31:I32)</f>
        <v>8.4600000000000009E-2</v>
      </c>
      <c r="J33" s="1"/>
      <c r="K33" s="4"/>
    </row>
    <row r="34" spans="1:11" x14ac:dyDescent="0.25">
      <c r="A34" s="2"/>
      <c r="B34" s="1"/>
      <c r="C34" s="1"/>
      <c r="D34" s="1"/>
      <c r="E34" s="1"/>
      <c r="F34" s="1"/>
      <c r="G34" s="37" t="s">
        <v>93</v>
      </c>
      <c r="H34" s="37" t="s">
        <v>94</v>
      </c>
      <c r="I34" s="1"/>
      <c r="J34" s="1"/>
      <c r="K34" s="4"/>
    </row>
    <row r="35" spans="1:11" x14ac:dyDescent="0.25">
      <c r="A35" s="2"/>
      <c r="B35" s="1" t="s">
        <v>46</v>
      </c>
      <c r="C35" s="1"/>
      <c r="D35" s="1"/>
      <c r="E35" s="1"/>
      <c r="F35" s="1"/>
      <c r="G35" s="13">
        <v>0.35</v>
      </c>
      <c r="H35" s="34">
        <f>0.35</f>
        <v>0.35</v>
      </c>
      <c r="I35" s="23"/>
      <c r="J35" s="1"/>
      <c r="K35" s="4"/>
    </row>
    <row r="36" spans="1:11" x14ac:dyDescent="0.25">
      <c r="A36" s="2"/>
      <c r="B36" s="18" t="s">
        <v>47</v>
      </c>
      <c r="C36" s="1"/>
      <c r="D36" s="1"/>
      <c r="E36" s="1"/>
      <c r="F36" s="1"/>
      <c r="G36" s="13">
        <v>0</v>
      </c>
      <c r="H36" s="34">
        <v>0</v>
      </c>
      <c r="I36" s="23"/>
      <c r="J36" s="1"/>
      <c r="K36" s="4"/>
    </row>
    <row r="37" spans="1:11" x14ac:dyDescent="0.25">
      <c r="A37" s="8"/>
      <c r="B37" s="9"/>
      <c r="C37" s="9"/>
      <c r="D37" s="9"/>
      <c r="E37" s="9"/>
      <c r="F37" s="9"/>
      <c r="G37" s="9"/>
      <c r="H37" s="38">
        <f>SUM(H35:H36)</f>
        <v>0.35</v>
      </c>
      <c r="I37" s="39">
        <f>ROUND(1/(1-Assumptions!H37),4)</f>
        <v>1.5385</v>
      </c>
      <c r="J37" s="9"/>
      <c r="K37" s="10"/>
    </row>
  </sheetData>
  <phoneticPr fontId="0" type="noConversion"/>
  <pageMargins left="0.75" right="0.75" top="1" bottom="1" header="0.5" footer="0.5"/>
  <pageSetup orientation="portrait" r:id="rId1"/>
  <headerFooter alignWithMargins="0">
    <oddFooter>&amp;L&amp;9&amp;Z&amp;F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workbookViewId="0">
      <selection activeCell="G38" sqref="G38"/>
    </sheetView>
  </sheetViews>
  <sheetFormatPr defaultRowHeight="13.2" x14ac:dyDescent="0.25"/>
  <cols>
    <col min="1" max="1" width="4.44140625" customWidth="1"/>
    <col min="2" max="2" width="2.44140625" customWidth="1"/>
    <col min="3" max="3" width="14.88671875" customWidth="1"/>
    <col min="4" max="4" width="8.109375" customWidth="1"/>
    <col min="5" max="6" width="7.5546875" customWidth="1"/>
    <col min="7" max="7" width="14" customWidth="1"/>
    <col min="8" max="8" width="10.88671875" customWidth="1"/>
    <col min="9" max="9" width="12.33203125" bestFit="1" customWidth="1"/>
    <col min="10" max="21" width="11.88671875" bestFit="1" customWidth="1"/>
    <col min="22" max="31" width="11.33203125" bestFit="1" customWidth="1"/>
    <col min="32" max="32" width="11.88671875" bestFit="1" customWidth="1"/>
  </cols>
  <sheetData>
    <row r="1" spans="1:32" x14ac:dyDescent="0.25">
      <c r="A1" t="str">
        <f>+Assumptions!A1</f>
        <v>Black Hills Power</v>
      </c>
    </row>
    <row r="2" spans="1:32" x14ac:dyDescent="0.25">
      <c r="A2" t="str">
        <f>+Assumptions!A2</f>
        <v>Natural Gas Ownership Option</v>
      </c>
    </row>
    <row r="4" spans="1:32" x14ac:dyDescent="0.25">
      <c r="A4" s="14" t="s">
        <v>40</v>
      </c>
    </row>
    <row r="5" spans="1:32" x14ac:dyDescent="0.25">
      <c r="A5" s="16" t="s">
        <v>41</v>
      </c>
      <c r="G5" s="16" t="s">
        <v>17</v>
      </c>
      <c r="H5" s="16"/>
      <c r="I5" s="16" t="s">
        <v>18</v>
      </c>
      <c r="J5" s="16" t="s">
        <v>19</v>
      </c>
      <c r="K5" s="16" t="s">
        <v>20</v>
      </c>
      <c r="L5" s="16" t="s">
        <v>21</v>
      </c>
      <c r="M5" s="16" t="s">
        <v>22</v>
      </c>
      <c r="N5" s="16" t="s">
        <v>23</v>
      </c>
      <c r="O5" s="16" t="s">
        <v>24</v>
      </c>
      <c r="P5" s="16" t="s">
        <v>25</v>
      </c>
      <c r="Q5" s="16" t="s">
        <v>26</v>
      </c>
      <c r="R5" s="16" t="s">
        <v>27</v>
      </c>
      <c r="S5" s="16" t="s">
        <v>28</v>
      </c>
      <c r="T5" s="16" t="s">
        <v>29</v>
      </c>
      <c r="U5" s="16" t="s">
        <v>30</v>
      </c>
      <c r="V5" s="16" t="s">
        <v>31</v>
      </c>
      <c r="W5" s="16" t="s">
        <v>32</v>
      </c>
      <c r="X5" s="16" t="s">
        <v>33</v>
      </c>
      <c r="Y5" s="16" t="s">
        <v>34</v>
      </c>
      <c r="Z5" s="16" t="s">
        <v>35</v>
      </c>
      <c r="AA5" s="16" t="s">
        <v>36</v>
      </c>
      <c r="AB5" s="16" t="s">
        <v>5</v>
      </c>
      <c r="AC5" s="16" t="s">
        <v>6</v>
      </c>
      <c r="AD5" s="16" t="s">
        <v>7</v>
      </c>
      <c r="AE5" s="16" t="s">
        <v>8</v>
      </c>
      <c r="AF5" s="16" t="s">
        <v>9</v>
      </c>
    </row>
    <row r="6" spans="1:32" x14ac:dyDescent="0.25">
      <c r="A6" s="14"/>
    </row>
    <row r="7" spans="1:32" x14ac:dyDescent="0.25">
      <c r="A7" s="14">
        <v>1</v>
      </c>
      <c r="B7" t="s">
        <v>39</v>
      </c>
      <c r="G7" s="15">
        <f>+Assumptions!I7*(Assumptions!I19*1000)</f>
        <v>65000000</v>
      </c>
      <c r="H7" s="15"/>
      <c r="I7" s="15">
        <f>+G10-G19</f>
        <v>63142857.142857142</v>
      </c>
      <c r="J7" s="15">
        <f t="shared" ref="J7:Q7" si="0">+I10-I19</f>
        <v>59774464.285714284</v>
      </c>
      <c r="K7" s="15">
        <f t="shared" si="0"/>
        <v>56622196.428571425</v>
      </c>
      <c r="L7" s="15">
        <f t="shared" si="0"/>
        <v>53663303.571428567</v>
      </c>
      <c r="M7" s="15">
        <f t="shared" si="0"/>
        <v>50879585.714285709</v>
      </c>
      <c r="N7" s="15">
        <f t="shared" si="0"/>
        <v>48255117.857142851</v>
      </c>
      <c r="O7" s="15">
        <f t="shared" si="0"/>
        <v>45705724.999999993</v>
      </c>
      <c r="P7" s="15">
        <f t="shared" si="0"/>
        <v>43156332.142857134</v>
      </c>
      <c r="Q7" s="15">
        <f t="shared" si="0"/>
        <v>40604664.285714276</v>
      </c>
      <c r="R7" s="15">
        <f t="shared" ref="R7:AB7" si="1">+Q10-Q19</f>
        <v>38055271.428571418</v>
      </c>
      <c r="S7" s="15">
        <f t="shared" si="1"/>
        <v>35503603.57142856</v>
      </c>
      <c r="T7" s="15">
        <f t="shared" si="1"/>
        <v>32954210.714285702</v>
      </c>
      <c r="U7" s="15">
        <f t="shared" si="1"/>
        <v>30402542.857142843</v>
      </c>
      <c r="V7" s="15">
        <f t="shared" si="1"/>
        <v>27853149.999999985</v>
      </c>
      <c r="W7" s="15">
        <f t="shared" si="1"/>
        <v>25301482.142857127</v>
      </c>
      <c r="X7" s="15">
        <f t="shared" si="1"/>
        <v>23423214.285714269</v>
      </c>
      <c r="Y7" s="15">
        <f t="shared" si="1"/>
        <v>22216071.42857141</v>
      </c>
      <c r="Z7" s="15">
        <f t="shared" si="1"/>
        <v>21008928.571428552</v>
      </c>
      <c r="AA7" s="15">
        <f t="shared" si="1"/>
        <v>19801785.714285694</v>
      </c>
      <c r="AB7" s="15">
        <f t="shared" si="1"/>
        <v>18594642.857142836</v>
      </c>
      <c r="AC7" s="15">
        <f>+AB10-AB19</f>
        <v>17387499.999999978</v>
      </c>
      <c r="AD7" s="15">
        <f>+AC10-AC19</f>
        <v>16180357.142857121</v>
      </c>
      <c r="AE7" s="15">
        <f>+AD10-AD19</f>
        <v>14973214.285714263</v>
      </c>
      <c r="AF7" s="15">
        <f>+AE10-AE19</f>
        <v>13766071.428571407</v>
      </c>
    </row>
    <row r="8" spans="1:32" x14ac:dyDescent="0.25">
      <c r="A8" s="14">
        <f>+A7+1</f>
        <v>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x14ac:dyDescent="0.25">
      <c r="A9" s="14">
        <f>+A8+1</f>
        <v>3</v>
      </c>
      <c r="B9" t="s">
        <v>57</v>
      </c>
      <c r="G9" s="15"/>
      <c r="H9" s="15"/>
      <c r="I9" s="15">
        <f>(+'MACRS Table'!G35-I19)*Assumptions!$G$35</f>
        <v>1511249.9999999998</v>
      </c>
      <c r="J9" s="15">
        <f>(+'MACRS Table'!G36-J19)*Assumptions!$G$35</f>
        <v>1295124.9999999998</v>
      </c>
      <c r="K9" s="15">
        <f>(+'MACRS Table'!G37-K19)*Assumptions!$G$35</f>
        <v>1101750</v>
      </c>
      <c r="L9" s="15">
        <f>(+'MACRS Table'!G38-L19)*Assumptions!$G$35</f>
        <v>926574.99999999988</v>
      </c>
      <c r="M9" s="15">
        <f>(+'MACRS Table'!G39-M19)*Assumptions!$G$35</f>
        <v>767324.99999999988</v>
      </c>
      <c r="N9" s="15">
        <f>(+'MACRS Table'!G40-N19)*Assumptions!$G$35</f>
        <v>692250</v>
      </c>
      <c r="O9" s="15">
        <f>(+'MACRS Table'!G41-O19)*Assumptions!$G$35</f>
        <v>692250</v>
      </c>
      <c r="P9" s="15">
        <f>(+'MACRS Table'!G42-P19)*Assumptions!$G$35</f>
        <v>694525</v>
      </c>
      <c r="Q9" s="15">
        <f>(+'MACRS Table'!G43-Q19)*Assumptions!$G$35</f>
        <v>692250</v>
      </c>
      <c r="R9" s="15">
        <f>(+'MACRS Table'!G44-R19)*Assumptions!$G$35</f>
        <v>694525</v>
      </c>
      <c r="S9" s="15">
        <f>(+'MACRS Table'!G45-S19)*Assumptions!$G$35</f>
        <v>692250</v>
      </c>
      <c r="T9" s="15">
        <f>(+'MACRS Table'!G46-T19)*Assumptions!$G$35</f>
        <v>694525</v>
      </c>
      <c r="U9" s="15">
        <f>(+'MACRS Table'!G47-U19)*Assumptions!$G$35</f>
        <v>692250</v>
      </c>
      <c r="V9" s="15">
        <f>(+'MACRS Table'!G48-V19)*Assumptions!$G$35</f>
        <v>694525</v>
      </c>
      <c r="W9" s="15">
        <f>(+'MACRS Table'!G49-W19)*Assumptions!$G$35</f>
        <v>21125.000000000033</v>
      </c>
      <c r="X9" s="15">
        <f>-X19*Assumptions!$G$35</f>
        <v>-649999.99999999988</v>
      </c>
      <c r="Y9" s="15">
        <f>-Y19*Assumptions!$G$35</f>
        <v>-649999.99999999988</v>
      </c>
      <c r="Z9" s="15">
        <f>-Z19*Assumptions!$G$35</f>
        <v>-649999.99999999988</v>
      </c>
      <c r="AA9" s="15">
        <f>-AA19*Assumptions!$G$35</f>
        <v>-649999.99999999988</v>
      </c>
      <c r="AB9" s="15">
        <f>-AB19*Assumptions!$G$35</f>
        <v>-649999.99999999988</v>
      </c>
      <c r="AC9" s="15">
        <f>-AC19*Assumptions!$G$35</f>
        <v>-649999.99999999988</v>
      </c>
      <c r="AD9" s="15">
        <f>-AD19*Assumptions!$G$35</f>
        <v>-649999.99999999988</v>
      </c>
      <c r="AE9" s="15">
        <f>-AE19*Assumptions!$G$35</f>
        <v>-649999.99999999988</v>
      </c>
      <c r="AF9" s="15">
        <f>-AF19*Assumptions!$G$35</f>
        <v>-649999.99999999988</v>
      </c>
    </row>
    <row r="10" spans="1:32" x14ac:dyDescent="0.25">
      <c r="A10" s="14">
        <f t="shared" ref="A10:A29" si="2">+A9+1</f>
        <v>4</v>
      </c>
      <c r="B10" t="s">
        <v>42</v>
      </c>
      <c r="G10" s="15">
        <f>+G7-G9</f>
        <v>65000000</v>
      </c>
      <c r="H10" s="15"/>
      <c r="I10" s="15">
        <f t="shared" ref="I10:Q10" si="3">+I7-I9</f>
        <v>61631607.142857142</v>
      </c>
      <c r="J10" s="15">
        <f t="shared" si="3"/>
        <v>58479339.285714284</v>
      </c>
      <c r="K10" s="15">
        <f t="shared" si="3"/>
        <v>55520446.428571425</v>
      </c>
      <c r="L10" s="15">
        <f t="shared" si="3"/>
        <v>52736728.571428567</v>
      </c>
      <c r="M10" s="15">
        <f t="shared" si="3"/>
        <v>50112260.714285709</v>
      </c>
      <c r="N10" s="15">
        <f t="shared" si="3"/>
        <v>47562867.857142851</v>
      </c>
      <c r="O10" s="15">
        <f t="shared" si="3"/>
        <v>45013474.999999993</v>
      </c>
      <c r="P10" s="15">
        <f t="shared" si="3"/>
        <v>42461807.142857134</v>
      </c>
      <c r="Q10" s="15">
        <f t="shared" si="3"/>
        <v>39912414.285714276</v>
      </c>
      <c r="R10" s="15">
        <f t="shared" ref="R10:AF10" si="4">+R7-R9</f>
        <v>37360746.428571418</v>
      </c>
      <c r="S10" s="15">
        <f t="shared" si="4"/>
        <v>34811353.57142856</v>
      </c>
      <c r="T10" s="15">
        <f t="shared" si="4"/>
        <v>32259685.714285702</v>
      </c>
      <c r="U10" s="15">
        <f t="shared" si="4"/>
        <v>29710292.857142843</v>
      </c>
      <c r="V10" s="15">
        <f t="shared" si="4"/>
        <v>27158624.999999985</v>
      </c>
      <c r="W10" s="15">
        <f t="shared" si="4"/>
        <v>25280357.142857127</v>
      </c>
      <c r="X10" s="15">
        <f t="shared" si="4"/>
        <v>24073214.285714269</v>
      </c>
      <c r="Y10" s="15">
        <f t="shared" si="4"/>
        <v>22866071.42857141</v>
      </c>
      <c r="Z10" s="15">
        <f t="shared" si="4"/>
        <v>21658928.571428552</v>
      </c>
      <c r="AA10" s="15">
        <f t="shared" si="4"/>
        <v>20451785.714285694</v>
      </c>
      <c r="AB10" s="15">
        <f t="shared" si="4"/>
        <v>19244642.857142836</v>
      </c>
      <c r="AC10" s="15">
        <f t="shared" si="4"/>
        <v>18037499.999999978</v>
      </c>
      <c r="AD10" s="15">
        <f t="shared" si="4"/>
        <v>16830357.142857119</v>
      </c>
      <c r="AE10" s="15">
        <f t="shared" si="4"/>
        <v>15623214.285714263</v>
      </c>
      <c r="AF10" s="15">
        <f t="shared" si="4"/>
        <v>14416071.428571407</v>
      </c>
    </row>
    <row r="11" spans="1:32" x14ac:dyDescent="0.25">
      <c r="A11" s="14">
        <f t="shared" si="2"/>
        <v>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x14ac:dyDescent="0.25">
      <c r="A12" s="14">
        <f t="shared" si="2"/>
        <v>6</v>
      </c>
      <c r="B12" t="s">
        <v>44</v>
      </c>
      <c r="D12" s="17">
        <f>+Assumptions!G31</f>
        <v>0.52</v>
      </c>
      <c r="E12" s="17">
        <f>+Assumptions!H31</f>
        <v>0.105</v>
      </c>
      <c r="F12" s="17">
        <f>+D12*E12</f>
        <v>5.4600000000000003E-2</v>
      </c>
      <c r="G12" s="15">
        <f>+G10*Assumptions!$I$32</f>
        <v>1950000</v>
      </c>
      <c r="H12" s="22">
        <f>ROUND(+G12/$G$7,4)</f>
        <v>0.03</v>
      </c>
      <c r="I12" s="15">
        <f>+I10*Assumptions!$I$32</f>
        <v>1848948.2142857141</v>
      </c>
      <c r="J12" s="15">
        <f>+J10*Assumptions!$I$32</f>
        <v>1754380.1785714284</v>
      </c>
      <c r="K12" s="15">
        <f>+K10*Assumptions!$I$32</f>
        <v>1665613.3928571427</v>
      </c>
      <c r="L12" s="15">
        <f>+L10*Assumptions!$I$32</f>
        <v>1582101.857142857</v>
      </c>
      <c r="M12" s="15">
        <f>+M10*Assumptions!$I$32</f>
        <v>1503367.8214285711</v>
      </c>
      <c r="N12" s="15">
        <f>+N10*Assumptions!$I$32</f>
        <v>1426886.0357142854</v>
      </c>
      <c r="O12" s="15">
        <f>+O10*Assumptions!$I$32</f>
        <v>1350404.2499999998</v>
      </c>
      <c r="P12" s="15">
        <f>+P10*Assumptions!$I$32</f>
        <v>1273854.2142857141</v>
      </c>
      <c r="Q12" s="15">
        <f>+Q10*Assumptions!$I$32</f>
        <v>1197372.4285714282</v>
      </c>
      <c r="R12" s="15">
        <f>+R10*Assumptions!$I$32</f>
        <v>1120822.3928571425</v>
      </c>
      <c r="S12" s="15">
        <f>+S10*Assumptions!$I$32</f>
        <v>1044340.6071428568</v>
      </c>
      <c r="T12" s="15">
        <f>+T10*Assumptions!$I$32</f>
        <v>967790.57142857101</v>
      </c>
      <c r="U12" s="15">
        <f>+U10*Assumptions!$I$32</f>
        <v>891308.78571428522</v>
      </c>
      <c r="V12" s="15">
        <f>+V10*Assumptions!$I$32</f>
        <v>814758.74999999953</v>
      </c>
      <c r="W12" s="15">
        <f>+W10*Assumptions!$I$32</f>
        <v>758410.71428571374</v>
      </c>
      <c r="X12" s="15">
        <f>+X10*Assumptions!$I$32</f>
        <v>722196.42857142806</v>
      </c>
      <c r="Y12" s="15">
        <f>+Y10*Assumptions!$I$32</f>
        <v>685982.14285714226</v>
      </c>
      <c r="Z12" s="15">
        <f>+Z10*Assumptions!$I$32</f>
        <v>649767.85714285658</v>
      </c>
      <c r="AA12" s="15">
        <f>+AA10*Assumptions!$I$32</f>
        <v>613553.57142857078</v>
      </c>
      <c r="AB12" s="15">
        <f>+AB10*Assumptions!$I$32</f>
        <v>577339.2857142851</v>
      </c>
      <c r="AC12" s="15">
        <f>+AC10*Assumptions!$I$32</f>
        <v>541124.9999999993</v>
      </c>
      <c r="AD12" s="15">
        <f>+AD10*Assumptions!$I$32</f>
        <v>504910.71428571356</v>
      </c>
      <c r="AE12" s="15">
        <f>+AE10*Assumptions!$I$32</f>
        <v>468696.42857142788</v>
      </c>
      <c r="AF12" s="15">
        <f>+AF10*Assumptions!$I$32</f>
        <v>432482.1428571422</v>
      </c>
    </row>
    <row r="13" spans="1:32" x14ac:dyDescent="0.25">
      <c r="A13" s="14">
        <f t="shared" si="2"/>
        <v>7</v>
      </c>
      <c r="B13" t="s">
        <v>48</v>
      </c>
      <c r="D13" s="17">
        <f>+Assumptions!G32</f>
        <v>0.48</v>
      </c>
      <c r="E13" s="17">
        <f>+Assumptions!H32</f>
        <v>6.25E-2</v>
      </c>
      <c r="F13" s="17">
        <f>+D13*E13</f>
        <v>0.03</v>
      </c>
      <c r="G13" s="15">
        <f>+G10*Assumptions!$I$31</f>
        <v>3549000</v>
      </c>
      <c r="H13" s="22">
        <f>ROUND(+G13/$G$7,4)</f>
        <v>5.4600000000000003E-2</v>
      </c>
      <c r="I13" s="15">
        <f>+I10*Assumptions!$I$31</f>
        <v>3365085.75</v>
      </c>
      <c r="J13" s="15">
        <f>+J10*Assumptions!$I$31</f>
        <v>3192971.9249999998</v>
      </c>
      <c r="K13" s="15">
        <f>+K10*Assumptions!$I$31</f>
        <v>3031416.375</v>
      </c>
      <c r="L13" s="15">
        <f>+L10*Assumptions!$I$31</f>
        <v>2879425.38</v>
      </c>
      <c r="M13" s="15">
        <f>+M10*Assumptions!$I$31</f>
        <v>2736129.4350000001</v>
      </c>
      <c r="N13" s="15">
        <f>+N10*Assumptions!$I$31</f>
        <v>2596932.585</v>
      </c>
      <c r="O13" s="15">
        <f>+O10*Assumptions!$I$31</f>
        <v>2457735.7349999999</v>
      </c>
      <c r="P13" s="15">
        <f>+P10*Assumptions!$I$31</f>
        <v>2318414.6699999995</v>
      </c>
      <c r="Q13" s="15">
        <f>+Q10*Assumptions!$I$31</f>
        <v>2179217.8199999994</v>
      </c>
      <c r="R13" s="15">
        <f>+R10*Assumptions!$I$31</f>
        <v>2039896.7549999994</v>
      </c>
      <c r="S13" s="15">
        <f>+S10*Assumptions!$I$31</f>
        <v>1900699.9049999996</v>
      </c>
      <c r="T13" s="15">
        <f>+T10*Assumptions!$I$31</f>
        <v>1761378.8399999994</v>
      </c>
      <c r="U13" s="15">
        <f>+U10*Assumptions!$I$31</f>
        <v>1622181.9899999993</v>
      </c>
      <c r="V13" s="15">
        <f>+V10*Assumptions!$I$31</f>
        <v>1482860.9249999993</v>
      </c>
      <c r="W13" s="15">
        <f>+W10*Assumptions!$I$31</f>
        <v>1380307.4999999993</v>
      </c>
      <c r="X13" s="15">
        <f>+X10*Assumptions!$I$31</f>
        <v>1314397.4999999991</v>
      </c>
      <c r="Y13" s="15">
        <f>+Y10*Assumptions!$I$31</f>
        <v>1248487.4999999991</v>
      </c>
      <c r="Z13" s="15">
        <f>+Z10*Assumptions!$I$31</f>
        <v>1182577.4999999991</v>
      </c>
      <c r="AA13" s="15">
        <f>+AA10*Assumptions!$I$31</f>
        <v>1116667.4999999988</v>
      </c>
      <c r="AB13" s="15">
        <f>+AB10*Assumptions!$I$31</f>
        <v>1050757.4999999988</v>
      </c>
      <c r="AC13" s="15">
        <f>+AC10*Assumptions!$I$31</f>
        <v>984847.49999999884</v>
      </c>
      <c r="AD13" s="15">
        <f>+AD10*Assumptions!$I$31</f>
        <v>918937.49999999872</v>
      </c>
      <c r="AE13" s="15">
        <f>+AE10*Assumptions!$I$31</f>
        <v>853027.49999999884</v>
      </c>
      <c r="AF13" s="15">
        <f>+AF10*Assumptions!$I$31</f>
        <v>787117.49999999884</v>
      </c>
    </row>
    <row r="14" spans="1:32" x14ac:dyDescent="0.25">
      <c r="A14" s="14">
        <f t="shared" si="2"/>
        <v>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x14ac:dyDescent="0.25">
      <c r="A15" s="14">
        <f t="shared" si="2"/>
        <v>9</v>
      </c>
      <c r="B15" t="s">
        <v>37</v>
      </c>
      <c r="G15" s="15">
        <f>+Assumptions!I11</f>
        <v>390160</v>
      </c>
      <c r="H15" s="22">
        <f>ROUND(+G15/$G$7,4)</f>
        <v>6.0000000000000001E-3</v>
      </c>
      <c r="I15" s="15">
        <f>+G15*(1+Assumptions!$I$13)</f>
        <v>399913.99999999994</v>
      </c>
      <c r="J15" s="15">
        <f>+I15*(1+Assumptions!$I$13)</f>
        <v>409911.84999999992</v>
      </c>
      <c r="K15" s="15">
        <f>+J15*(1+Assumptions!$I$13)</f>
        <v>420159.64624999987</v>
      </c>
      <c r="L15" s="15">
        <f>+K15*(1+Assumptions!$I$13)</f>
        <v>430663.63740624982</v>
      </c>
      <c r="M15" s="15">
        <f>+L15*(1+Assumptions!$I$13)</f>
        <v>441430.22834140604</v>
      </c>
      <c r="N15" s="15">
        <f>+M15*(1+Assumptions!$I$13)</f>
        <v>452465.98404994112</v>
      </c>
      <c r="O15" s="15">
        <f>+N15*(1+Assumptions!$I$13)</f>
        <v>463777.63365118962</v>
      </c>
      <c r="P15" s="15">
        <f>+O15*(1+Assumptions!$I$13)</f>
        <v>475372.07449246931</v>
      </c>
      <c r="Q15" s="15">
        <f>+P15*(1+Assumptions!$I$13)</f>
        <v>487256.37635478098</v>
      </c>
      <c r="R15" s="15">
        <f>+Q15*(1+Assumptions!$I$13)</f>
        <v>499437.78576365043</v>
      </c>
      <c r="S15" s="15">
        <f>+R15*(1+Assumptions!$I$13)</f>
        <v>511923.73040774168</v>
      </c>
      <c r="T15" s="15">
        <f>+S15*(1+Assumptions!$I$13)</f>
        <v>524721.82366793521</v>
      </c>
      <c r="U15" s="15">
        <f>+T15*(1+Assumptions!$I$13)</f>
        <v>537839.86925963359</v>
      </c>
      <c r="V15" s="15">
        <f>+U15*(1+Assumptions!$I$13)</f>
        <v>551285.86599112442</v>
      </c>
      <c r="W15" s="15">
        <f>+V15*(1+Assumptions!$I$13)</f>
        <v>565068.01264090242</v>
      </c>
      <c r="X15" s="15">
        <f>+W15*(1+Assumptions!$I$13)</f>
        <v>579194.71295692492</v>
      </c>
      <c r="Y15" s="15">
        <f>+X15*(1+Assumptions!$I$13)</f>
        <v>593674.58078084805</v>
      </c>
      <c r="Z15" s="15">
        <f>+Y15*(1+Assumptions!$I$13)</f>
        <v>608516.44530036917</v>
      </c>
      <c r="AA15" s="15">
        <f>+Z15*(1+Assumptions!$I$13)</f>
        <v>623729.3564328783</v>
      </c>
      <c r="AB15" s="15">
        <f>+AA15*(1+Assumptions!$I$13)</f>
        <v>639322.59034370014</v>
      </c>
      <c r="AC15" s="15">
        <f>+AB15*(1+Assumptions!$I$13)</f>
        <v>655305.65510229254</v>
      </c>
      <c r="AD15" s="15">
        <f>+AC15*(1+Assumptions!$I$13)</f>
        <v>671688.29647984984</v>
      </c>
      <c r="AE15" s="15">
        <f>+AD15*(1+Assumptions!$I$13)</f>
        <v>688480.50389184605</v>
      </c>
      <c r="AF15" s="15">
        <f>+AE15*(1+Assumptions!$I$13)</f>
        <v>705692.51648914209</v>
      </c>
    </row>
    <row r="16" spans="1:32" x14ac:dyDescent="0.25">
      <c r="A16" s="14">
        <f t="shared" si="2"/>
        <v>10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x14ac:dyDescent="0.25">
      <c r="A17" s="14">
        <f t="shared" si="2"/>
        <v>11</v>
      </c>
      <c r="B17" t="s">
        <v>77</v>
      </c>
      <c r="G17" s="15">
        <f>+'Fuel Usage'!C14</f>
        <v>130156.08</v>
      </c>
      <c r="H17" s="22">
        <f>ROUND(+G17/$G$7,4)</f>
        <v>2E-3</v>
      </c>
      <c r="I17" s="15">
        <f>+G17*(1+Assumptions!$I$13)</f>
        <v>133409.98199999999</v>
      </c>
      <c r="J17" s="15">
        <f>+I17*(1+Assumptions!$I$13)</f>
        <v>136745.23154999997</v>
      </c>
      <c r="K17" s="15">
        <f>+J17*(1+Assumptions!$I$13)</f>
        <v>140163.86233874995</v>
      </c>
      <c r="L17" s="15">
        <f>+K17*(1+Assumptions!$I$13)</f>
        <v>143667.95889721869</v>
      </c>
      <c r="M17" s="15">
        <f>+L17*(1+Assumptions!$I$13)</f>
        <v>147259.65786964915</v>
      </c>
      <c r="N17" s="15">
        <f>+M17*(1+Assumptions!$I$13)</f>
        <v>150941.14931639037</v>
      </c>
      <c r="O17" s="15">
        <f>+N17*(1+Assumptions!$I$13)</f>
        <v>154714.6780493001</v>
      </c>
      <c r="P17" s="15">
        <f>+O17*(1+Assumptions!$I$13)</f>
        <v>158582.54500053258</v>
      </c>
      <c r="Q17" s="15">
        <f>+P17*(1+Assumptions!$I$13)</f>
        <v>162547.10862554589</v>
      </c>
      <c r="R17" s="15">
        <f>+Q17*(1+Assumptions!$I$13)</f>
        <v>166610.78634118452</v>
      </c>
      <c r="S17" s="15">
        <f>+R17*(1+Assumptions!$I$13)</f>
        <v>170776.05599971412</v>
      </c>
      <c r="T17" s="15">
        <f>+S17*(1+Assumptions!$I$13)</f>
        <v>175045.45739970697</v>
      </c>
      <c r="U17" s="15">
        <f>+T17*(1+Assumptions!$I$13)</f>
        <v>179421.59383469963</v>
      </c>
      <c r="V17" s="15">
        <f>+U17*(1+Assumptions!$I$13)</f>
        <v>183907.13368056709</v>
      </c>
      <c r="W17" s="15">
        <f>+V17*(1+Assumptions!$I$13)</f>
        <v>188504.81202258126</v>
      </c>
      <c r="X17" s="15">
        <f>+W17*(1+Assumptions!$I$13)</f>
        <v>193217.43232314577</v>
      </c>
      <c r="Y17" s="15">
        <f>+X17*(1+Assumptions!$I$13)</f>
        <v>198047.86813122439</v>
      </c>
      <c r="Z17" s="15">
        <f>+Y17*(1+Assumptions!$I$13)</f>
        <v>202999.06483450497</v>
      </c>
      <c r="AA17" s="15">
        <f>+Z17*(1+Assumptions!$I$13)</f>
        <v>208074.04145536758</v>
      </c>
      <c r="AB17" s="15">
        <f>+AA17*(1+Assumptions!$I$13)</f>
        <v>213275.89249175176</v>
      </c>
      <c r="AC17" s="15">
        <f>+AB17*(1+Assumptions!$I$13)</f>
        <v>218607.78980404552</v>
      </c>
      <c r="AD17" s="15">
        <f>+AC17*(1+Assumptions!$I$13)</f>
        <v>224072.98454914664</v>
      </c>
      <c r="AE17" s="15">
        <f>+AD17*(1+Assumptions!$I$13)</f>
        <v>229674.80916287529</v>
      </c>
      <c r="AF17" s="15">
        <f>+AE17*(1+Assumptions!$I$13)</f>
        <v>235416.67939194714</v>
      </c>
    </row>
    <row r="18" spans="1:32" x14ac:dyDescent="0.25">
      <c r="A18" s="14">
        <f t="shared" si="2"/>
        <v>12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x14ac:dyDescent="0.25">
      <c r="A19" s="14">
        <f t="shared" si="2"/>
        <v>13</v>
      </c>
      <c r="B19" t="s">
        <v>43</v>
      </c>
      <c r="G19" s="15">
        <f>+G7/Assumptions!$I$15</f>
        <v>1857142.857142857</v>
      </c>
      <c r="H19" s="22">
        <f>ROUND(+G19/$G$7,4)</f>
        <v>2.86E-2</v>
      </c>
      <c r="I19" s="15">
        <f>+G19</f>
        <v>1857142.857142857</v>
      </c>
      <c r="J19" s="15">
        <f t="shared" ref="J19:Q19" si="5">+I19</f>
        <v>1857142.857142857</v>
      </c>
      <c r="K19" s="15">
        <f t="shared" si="5"/>
        <v>1857142.857142857</v>
      </c>
      <c r="L19" s="15">
        <f t="shared" si="5"/>
        <v>1857142.857142857</v>
      </c>
      <c r="M19" s="15">
        <f t="shared" si="5"/>
        <v>1857142.857142857</v>
      </c>
      <c r="N19" s="15">
        <f t="shared" si="5"/>
        <v>1857142.857142857</v>
      </c>
      <c r="O19" s="15">
        <f t="shared" si="5"/>
        <v>1857142.857142857</v>
      </c>
      <c r="P19" s="15">
        <f t="shared" si="5"/>
        <v>1857142.857142857</v>
      </c>
      <c r="Q19" s="15">
        <f t="shared" si="5"/>
        <v>1857142.857142857</v>
      </c>
      <c r="R19" s="15">
        <f t="shared" ref="R19:AD19" si="6">+Q19</f>
        <v>1857142.857142857</v>
      </c>
      <c r="S19" s="15">
        <f t="shared" si="6"/>
        <v>1857142.857142857</v>
      </c>
      <c r="T19" s="15">
        <f t="shared" si="6"/>
        <v>1857142.857142857</v>
      </c>
      <c r="U19" s="15">
        <f t="shared" si="6"/>
        <v>1857142.857142857</v>
      </c>
      <c r="V19" s="15">
        <f t="shared" si="6"/>
        <v>1857142.857142857</v>
      </c>
      <c r="W19" s="15">
        <f t="shared" si="6"/>
        <v>1857142.857142857</v>
      </c>
      <c r="X19" s="15">
        <f t="shared" si="6"/>
        <v>1857142.857142857</v>
      </c>
      <c r="Y19" s="15">
        <f t="shared" si="6"/>
        <v>1857142.857142857</v>
      </c>
      <c r="Z19" s="15">
        <f t="shared" si="6"/>
        <v>1857142.857142857</v>
      </c>
      <c r="AA19" s="15">
        <f t="shared" si="6"/>
        <v>1857142.857142857</v>
      </c>
      <c r="AB19" s="15">
        <f t="shared" si="6"/>
        <v>1857142.857142857</v>
      </c>
      <c r="AC19" s="15">
        <f t="shared" si="6"/>
        <v>1857142.857142857</v>
      </c>
      <c r="AD19" s="15">
        <f t="shared" si="6"/>
        <v>1857142.857142857</v>
      </c>
      <c r="AE19" s="15">
        <f>+AD19</f>
        <v>1857142.857142857</v>
      </c>
      <c r="AF19" s="15">
        <f>+AE19</f>
        <v>1857142.857142857</v>
      </c>
    </row>
    <row r="20" spans="1:32" x14ac:dyDescent="0.25">
      <c r="A20" s="14">
        <f t="shared" si="2"/>
        <v>14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x14ac:dyDescent="0.25">
      <c r="A21" s="14">
        <f t="shared" si="2"/>
        <v>15</v>
      </c>
      <c r="B21" t="s">
        <v>49</v>
      </c>
      <c r="G21" s="15">
        <f>+G10*Assumptions!$I$29</f>
        <v>227500</v>
      </c>
      <c r="H21" s="22">
        <f>ROUND(+G21/$G$7,4)</f>
        <v>3.5000000000000001E-3</v>
      </c>
      <c r="I21" s="15">
        <f>+I10*Assumptions!$I$29</f>
        <v>215710.625</v>
      </c>
      <c r="J21" s="15">
        <f>+J10*Assumptions!$I$29</f>
        <v>204677.6875</v>
      </c>
      <c r="K21" s="15">
        <f>+K10*Assumptions!$I$29</f>
        <v>194321.5625</v>
      </c>
      <c r="L21" s="15">
        <f>+L10*Assumptions!$I$29</f>
        <v>184578.55</v>
      </c>
      <c r="M21" s="15">
        <f>+M10*Assumptions!$I$29</f>
        <v>175392.91249999998</v>
      </c>
      <c r="N21" s="15">
        <f>+N10*Assumptions!$I$29</f>
        <v>166470.03749999998</v>
      </c>
      <c r="O21" s="15">
        <f>+O10*Assumptions!$I$29</f>
        <v>157547.16249999998</v>
      </c>
      <c r="P21" s="15">
        <f>+P10*Assumptions!$I$29</f>
        <v>148616.32499999998</v>
      </c>
      <c r="Q21" s="15">
        <f>+Q10*Assumptions!$I$29</f>
        <v>139693.44999999998</v>
      </c>
      <c r="R21" s="15">
        <f>+R10*Assumptions!$I$29</f>
        <v>130762.61249999996</v>
      </c>
      <c r="S21" s="15">
        <f>+S10*Assumptions!$I$29</f>
        <v>121839.73749999996</v>
      </c>
      <c r="T21" s="15">
        <f>+T10*Assumptions!$I$29</f>
        <v>112908.89999999995</v>
      </c>
      <c r="U21" s="15">
        <f>+U10*Assumptions!$I$29</f>
        <v>103986.02499999995</v>
      </c>
      <c r="V21" s="15">
        <f>+V10*Assumptions!$I$29</f>
        <v>95055.187499999956</v>
      </c>
      <c r="W21" s="15">
        <f>+W10*Assumptions!$I$29</f>
        <v>88481.249999999942</v>
      </c>
      <c r="X21" s="15">
        <f>+X10*Assumptions!$I$29</f>
        <v>84256.249999999942</v>
      </c>
      <c r="Y21" s="15">
        <f>+Y10*Assumptions!$I$29</f>
        <v>80031.249999999942</v>
      </c>
      <c r="Z21" s="15">
        <f>+Z10*Assumptions!$I$29</f>
        <v>75806.249999999942</v>
      </c>
      <c r="AA21" s="15">
        <f>+AA10*Assumptions!$I$29</f>
        <v>71581.249999999927</v>
      </c>
      <c r="AB21" s="15">
        <f>+AB10*Assumptions!$I$29</f>
        <v>67356.249999999927</v>
      </c>
      <c r="AC21" s="15">
        <f>+AC10*Assumptions!$I$29</f>
        <v>63131.24999999992</v>
      </c>
      <c r="AD21" s="15">
        <f>+AD10*Assumptions!$I$29</f>
        <v>58906.24999999992</v>
      </c>
      <c r="AE21" s="15">
        <f>+AE10*Assumptions!$I$29</f>
        <v>54681.24999999992</v>
      </c>
      <c r="AF21" s="15">
        <f>+AF10*Assumptions!$I$29</f>
        <v>50456.249999999927</v>
      </c>
    </row>
    <row r="22" spans="1:32" x14ac:dyDescent="0.25">
      <c r="A22" s="14">
        <f t="shared" si="2"/>
        <v>16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5">
      <c r="A23" s="14">
        <f t="shared" si="2"/>
        <v>17</v>
      </c>
      <c r="B23" t="s">
        <v>51</v>
      </c>
      <c r="G23" s="15">
        <f>(+G13*Assumptions!$I$37)-G13</f>
        <v>1911136.5</v>
      </c>
      <c r="H23" s="22">
        <f>ROUND(+G23/$G$7,4)</f>
        <v>2.9399999999999999E-2</v>
      </c>
      <c r="I23" s="15">
        <f>(+I13*Assumptions!$I$37)-I13</f>
        <v>1812098.6763749998</v>
      </c>
      <c r="J23" s="15">
        <f>(+J13*Assumptions!$I$37)-J13</f>
        <v>1719415.3816125002</v>
      </c>
      <c r="K23" s="15">
        <f>(+K13*Assumptions!$I$37)-K13</f>
        <v>1632417.7179375002</v>
      </c>
      <c r="L23" s="15">
        <f>(+L13*Assumptions!$I$37)-L13</f>
        <v>1550570.5671300003</v>
      </c>
      <c r="M23" s="15">
        <f>(+M13*Assumptions!$I$37)-M13</f>
        <v>1473405.7007474997</v>
      </c>
      <c r="N23" s="15">
        <f>(+N13*Assumptions!$I$37)-N13</f>
        <v>1398448.1970225</v>
      </c>
      <c r="O23" s="15">
        <f>(+O13*Assumptions!$I$37)-O13</f>
        <v>1323490.6932974998</v>
      </c>
      <c r="P23" s="15">
        <f>(+P13*Assumptions!$I$37)-P13</f>
        <v>1248466.2997949999</v>
      </c>
      <c r="Q23" s="15">
        <f>(+Q13*Assumptions!$I$37)-Q13</f>
        <v>1173508.7960699997</v>
      </c>
      <c r="R23" s="15">
        <f>(+R13*Assumptions!$I$37)-R13</f>
        <v>1098484.4025674998</v>
      </c>
      <c r="S23" s="15">
        <f>(+S13*Assumptions!$I$37)-S13</f>
        <v>1023526.8988424998</v>
      </c>
      <c r="T23" s="15">
        <f>(+T13*Assumptions!$I$37)-T13</f>
        <v>948502.50533999968</v>
      </c>
      <c r="U23" s="15">
        <f>(+U13*Assumptions!$I$37)-U13</f>
        <v>873545.00161499949</v>
      </c>
      <c r="V23" s="15">
        <f>(+V13*Assumptions!$I$37)-V13</f>
        <v>798520.60811249958</v>
      </c>
      <c r="W23" s="15">
        <f>(+W13*Assumptions!$I$37)-W13</f>
        <v>743295.58874999941</v>
      </c>
      <c r="X23" s="15">
        <f>(+X13*Assumptions!$I$37)-X13</f>
        <v>707803.0537499995</v>
      </c>
      <c r="Y23" s="15">
        <f>(+Y13*Assumptions!$I$37)-Y13</f>
        <v>672310.51874999958</v>
      </c>
      <c r="Z23" s="15">
        <f>(+Z13*Assumptions!$I$37)-Z13</f>
        <v>636817.98374999943</v>
      </c>
      <c r="AA23" s="15">
        <f>(+AA13*Assumptions!$I$37)-AA13</f>
        <v>601325.44874999928</v>
      </c>
      <c r="AB23" s="15">
        <f>(+AB13*Assumptions!$I$37)-AB13</f>
        <v>565832.91374999937</v>
      </c>
      <c r="AC23" s="15">
        <f>(+AC13*Assumptions!$I$37)-AC13</f>
        <v>530340.37874999945</v>
      </c>
      <c r="AD23" s="15">
        <f>(+AD13*Assumptions!$I$37)-AD13</f>
        <v>494847.84374999919</v>
      </c>
      <c r="AE23" s="15">
        <f>(+AE13*Assumptions!$I$37)-AE13</f>
        <v>459355.30874999939</v>
      </c>
      <c r="AF23" s="15">
        <f>(+AF13*Assumptions!$I$37)-AF13</f>
        <v>423862.77374999947</v>
      </c>
    </row>
    <row r="24" spans="1:32" x14ac:dyDescent="0.25">
      <c r="A24" s="14">
        <f t="shared" si="2"/>
        <v>18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x14ac:dyDescent="0.25">
      <c r="A25" s="14">
        <f t="shared" si="2"/>
        <v>19</v>
      </c>
      <c r="B25" t="s">
        <v>99</v>
      </c>
      <c r="G25" s="15">
        <f>SUM(G12:G24)</f>
        <v>10015095.437142856</v>
      </c>
      <c r="H25" s="22">
        <f>SUM(H12:H24)</f>
        <v>0.15410000000000001</v>
      </c>
      <c r="I25" s="15">
        <f>SUM(I12:I24)</f>
        <v>9632310.1048035715</v>
      </c>
      <c r="J25" s="15">
        <f t="shared" ref="J25:Q25" si="7">SUM(J12:J24)</f>
        <v>9275245.1113767847</v>
      </c>
      <c r="K25" s="15">
        <f t="shared" si="7"/>
        <v>8941235.4140262492</v>
      </c>
      <c r="L25" s="15">
        <f t="shared" si="7"/>
        <v>8628150.8077191822</v>
      </c>
      <c r="M25" s="15">
        <f t="shared" si="7"/>
        <v>8334128.6130299829</v>
      </c>
      <c r="N25" s="15">
        <f t="shared" si="7"/>
        <v>8049286.8457459733</v>
      </c>
      <c r="O25" s="15">
        <f t="shared" si="7"/>
        <v>7764813.0096408455</v>
      </c>
      <c r="P25" s="15">
        <f t="shared" si="7"/>
        <v>7480448.985716573</v>
      </c>
      <c r="Q25" s="15">
        <f t="shared" si="7"/>
        <v>7196738.8367646113</v>
      </c>
      <c r="R25" s="15">
        <f t="shared" ref="R25:AF25" si="8">SUM(R12:R24)</f>
        <v>6913157.592172334</v>
      </c>
      <c r="S25" s="15">
        <f t="shared" si="8"/>
        <v>6630249.7920356691</v>
      </c>
      <c r="T25" s="15">
        <f t="shared" si="8"/>
        <v>6347490.9549790695</v>
      </c>
      <c r="U25" s="15">
        <f t="shared" si="8"/>
        <v>6065426.1225664746</v>
      </c>
      <c r="V25" s="15">
        <f t="shared" si="8"/>
        <v>5783531.3274270464</v>
      </c>
      <c r="W25" s="15">
        <f t="shared" si="8"/>
        <v>5581210.7348420527</v>
      </c>
      <c r="X25" s="15">
        <f t="shared" si="8"/>
        <v>5458208.2347443551</v>
      </c>
      <c r="Y25" s="15">
        <f t="shared" si="8"/>
        <v>5335676.7176620709</v>
      </c>
      <c r="Z25" s="15">
        <f t="shared" si="8"/>
        <v>5213627.9581705863</v>
      </c>
      <c r="AA25" s="15">
        <f t="shared" si="8"/>
        <v>5092074.0252096718</v>
      </c>
      <c r="AB25" s="15">
        <f t="shared" si="8"/>
        <v>4971027.2894425923</v>
      </c>
      <c r="AC25" s="15">
        <f t="shared" si="8"/>
        <v>4850500.4307991927</v>
      </c>
      <c r="AD25" s="15">
        <f t="shared" si="8"/>
        <v>4730506.4462075653</v>
      </c>
      <c r="AE25" s="15">
        <f t="shared" si="8"/>
        <v>4611058.6575190052</v>
      </c>
      <c r="AF25" s="15">
        <f t="shared" si="8"/>
        <v>4492170.719631087</v>
      </c>
    </row>
    <row r="26" spans="1:32" hidden="1" x14ac:dyDescent="0.25">
      <c r="A26" s="14">
        <f t="shared" si="2"/>
        <v>20</v>
      </c>
      <c r="D26" t="s">
        <v>100</v>
      </c>
      <c r="G26" s="15">
        <f>AVERAGE(G25:AF25)</f>
        <v>6438206.5509028994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idden="1" x14ac:dyDescent="0.25">
      <c r="A27" s="14">
        <f t="shared" si="2"/>
        <v>21</v>
      </c>
      <c r="B27" t="s">
        <v>53</v>
      </c>
      <c r="G27" s="15">
        <f>+Assumptions!I21</f>
        <v>3504</v>
      </c>
      <c r="H27" s="15"/>
      <c r="I27" s="15">
        <f>+G27</f>
        <v>3504</v>
      </c>
      <c r="J27" s="15">
        <f t="shared" ref="J27:Q27" si="9">+I27</f>
        <v>3504</v>
      </c>
      <c r="K27" s="15">
        <f t="shared" si="9"/>
        <v>3504</v>
      </c>
      <c r="L27" s="15">
        <f t="shared" si="9"/>
        <v>3504</v>
      </c>
      <c r="M27" s="15">
        <f t="shared" si="9"/>
        <v>3504</v>
      </c>
      <c r="N27" s="15">
        <f t="shared" si="9"/>
        <v>3504</v>
      </c>
      <c r="O27" s="15">
        <f t="shared" si="9"/>
        <v>3504</v>
      </c>
      <c r="P27" s="15">
        <f t="shared" si="9"/>
        <v>3504</v>
      </c>
      <c r="Q27" s="15">
        <f t="shared" si="9"/>
        <v>3504</v>
      </c>
      <c r="R27" s="15">
        <f t="shared" ref="R27:AD27" si="10">+Q27</f>
        <v>3504</v>
      </c>
      <c r="S27" s="15">
        <f t="shared" si="10"/>
        <v>3504</v>
      </c>
      <c r="T27" s="15">
        <f t="shared" si="10"/>
        <v>3504</v>
      </c>
      <c r="U27" s="15">
        <f t="shared" si="10"/>
        <v>3504</v>
      </c>
      <c r="V27" s="15">
        <f t="shared" si="10"/>
        <v>3504</v>
      </c>
      <c r="W27" s="15">
        <f t="shared" si="10"/>
        <v>3504</v>
      </c>
      <c r="X27" s="15">
        <f t="shared" si="10"/>
        <v>3504</v>
      </c>
      <c r="Y27" s="15">
        <f t="shared" si="10"/>
        <v>3504</v>
      </c>
      <c r="Z27" s="15">
        <f t="shared" si="10"/>
        <v>3504</v>
      </c>
      <c r="AA27" s="15">
        <f t="shared" si="10"/>
        <v>3504</v>
      </c>
      <c r="AB27" s="15">
        <f t="shared" si="10"/>
        <v>3504</v>
      </c>
      <c r="AC27" s="15">
        <f t="shared" si="10"/>
        <v>3504</v>
      </c>
      <c r="AD27" s="15">
        <f t="shared" si="10"/>
        <v>3504</v>
      </c>
      <c r="AE27" s="15">
        <f>+AD27</f>
        <v>3504</v>
      </c>
      <c r="AF27" s="15">
        <f>+AE27</f>
        <v>3504</v>
      </c>
    </row>
    <row r="28" spans="1:32" hidden="1" x14ac:dyDescent="0.25">
      <c r="A28" s="14">
        <f t="shared" si="2"/>
        <v>22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idden="1" x14ac:dyDescent="0.25">
      <c r="A29" s="14">
        <f t="shared" si="2"/>
        <v>23</v>
      </c>
      <c r="B29" t="s">
        <v>52</v>
      </c>
      <c r="G29" s="21">
        <f>+G25/G27</f>
        <v>2858.1893370841485</v>
      </c>
      <c r="H29" s="21"/>
      <c r="I29" s="21">
        <f>+I25/I27</f>
        <v>2748.9469477179141</v>
      </c>
      <c r="J29" s="21">
        <f t="shared" ref="J29:Q29" si="11">+J25/J27</f>
        <v>2647.0448377216853</v>
      </c>
      <c r="K29" s="21">
        <f t="shared" si="11"/>
        <v>2551.7224355097742</v>
      </c>
      <c r="L29" s="21">
        <f t="shared" si="11"/>
        <v>2462.3718058559311</v>
      </c>
      <c r="M29" s="21">
        <f t="shared" si="11"/>
        <v>2378.461362166091</v>
      </c>
      <c r="N29" s="21">
        <f t="shared" si="11"/>
        <v>2297.1709034663168</v>
      </c>
      <c r="O29" s="21">
        <f t="shared" si="11"/>
        <v>2215.9854479568621</v>
      </c>
      <c r="P29" s="21">
        <f t="shared" si="11"/>
        <v>2134.8313315401178</v>
      </c>
      <c r="Q29" s="21">
        <f t="shared" si="11"/>
        <v>2053.8638232775716</v>
      </c>
      <c r="R29" s="21">
        <f t="shared" ref="R29:AD29" si="12">+R25/R27</f>
        <v>1972.9331027889082</v>
      </c>
      <c r="S29" s="21">
        <f t="shared" si="12"/>
        <v>1892.1945753526452</v>
      </c>
      <c r="T29" s="21">
        <f t="shared" si="12"/>
        <v>1811.4985602109216</v>
      </c>
      <c r="U29" s="21">
        <f t="shared" si="12"/>
        <v>1731.0006057552725</v>
      </c>
      <c r="V29" s="21">
        <f t="shared" si="12"/>
        <v>1650.5511779186777</v>
      </c>
      <c r="W29" s="21">
        <f t="shared" si="12"/>
        <v>1592.8112827745583</v>
      </c>
      <c r="X29" s="21">
        <f t="shared" si="12"/>
        <v>1557.7078295503297</v>
      </c>
      <c r="Y29" s="21">
        <f t="shared" si="12"/>
        <v>1522.7387892871207</v>
      </c>
      <c r="Z29" s="21">
        <f t="shared" si="12"/>
        <v>1487.9075223089574</v>
      </c>
      <c r="AA29" s="21">
        <f t="shared" si="12"/>
        <v>1453.2174729479657</v>
      </c>
      <c r="AB29" s="21">
        <f t="shared" si="12"/>
        <v>1418.6721716445754</v>
      </c>
      <c r="AC29" s="21">
        <f t="shared" si="12"/>
        <v>1384.2752371002261</v>
      </c>
      <c r="AD29" s="21">
        <f t="shared" si="12"/>
        <v>1350.0303784838941</v>
      </c>
      <c r="AE29" s="21">
        <f>+AE25/AE27</f>
        <v>1315.9413976937801</v>
      </c>
      <c r="AF29" s="21">
        <f>+AF25/AF27</f>
        <v>1282.0121916755386</v>
      </c>
    </row>
    <row r="30" spans="1:32" x14ac:dyDescent="0.25">
      <c r="A30" s="14"/>
      <c r="C30" t="s">
        <v>120</v>
      </c>
      <c r="G30" s="15">
        <f>+G12+G13+G19+G21+G23</f>
        <v>9494779.3571428582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32" hidden="1" x14ac:dyDescent="0.25">
      <c r="A31" t="s">
        <v>95</v>
      </c>
      <c r="G31" s="15">
        <f>NPV(D32,G25:AF25)</f>
        <v>72934709.943092138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32" hidden="1" x14ac:dyDescent="0.25">
      <c r="A32" t="s">
        <v>96</v>
      </c>
      <c r="D32" s="22">
        <v>8.5000000000000006E-2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idden="1" x14ac:dyDescent="0.25">
      <c r="A33" t="s">
        <v>76</v>
      </c>
      <c r="G33" s="27">
        <v>250000000</v>
      </c>
      <c r="H33" s="27"/>
      <c r="I33" s="15"/>
      <c r="J33" s="15"/>
      <c r="K33" s="15"/>
      <c r="L33" s="15"/>
      <c r="M33" s="15"/>
      <c r="N33" s="15"/>
      <c r="O33" s="15"/>
      <c r="P33" s="15"/>
      <c r="Q33" s="15"/>
    </row>
    <row r="34" spans="1:17" hidden="1" x14ac:dyDescent="0.25">
      <c r="A34" s="14"/>
      <c r="G34" s="15"/>
      <c r="H34" s="15"/>
      <c r="I34" s="22">
        <f>+G26/G33</f>
        <v>2.5752826203611596E-2</v>
      </c>
      <c r="J34" s="15" t="s">
        <v>101</v>
      </c>
      <c r="K34" s="15"/>
      <c r="L34" s="15"/>
      <c r="M34" s="15"/>
      <c r="N34" s="15"/>
      <c r="O34" s="15"/>
      <c r="P34" s="15"/>
      <c r="Q34" s="15"/>
    </row>
    <row r="35" spans="1:17" hidden="1" x14ac:dyDescent="0.25">
      <c r="A35" s="14"/>
      <c r="B35" t="s">
        <v>98</v>
      </c>
      <c r="G35" s="22">
        <f>+G25/G33</f>
        <v>4.0060381748571426E-2</v>
      </c>
      <c r="H35" s="22"/>
      <c r="K35" s="15"/>
      <c r="L35" s="15"/>
      <c r="M35" s="15"/>
      <c r="N35" s="15"/>
      <c r="O35" s="15"/>
      <c r="P35" s="15"/>
      <c r="Q35" s="15"/>
    </row>
    <row r="36" spans="1:17" hidden="1" x14ac:dyDescent="0.25">
      <c r="A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idden="1" x14ac:dyDescent="0.25">
      <c r="A37" s="25" t="s">
        <v>11</v>
      </c>
      <c r="G37" s="15">
        <f>+Assumptions!I27</f>
        <v>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25">
      <c r="A38" s="25"/>
      <c r="C38" t="s">
        <v>121</v>
      </c>
      <c r="G38" s="69">
        <f>+G30/(Assumptions!I19*1000*12)</f>
        <v>19.780790327380956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25">
      <c r="A39" s="2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25">
      <c r="A40" s="28"/>
      <c r="B40" s="29" t="s">
        <v>54</v>
      </c>
      <c r="C40" s="28"/>
      <c r="D40" s="28"/>
      <c r="E40" s="28"/>
      <c r="F40" s="28"/>
      <c r="G40" s="30"/>
      <c r="H40" s="30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25"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25">
      <c r="B42" t="s">
        <v>0</v>
      </c>
      <c r="G42" s="15">
        <f>+G25</f>
        <v>10015095.437142856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25"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5">
      <c r="B44" t="s">
        <v>1</v>
      </c>
      <c r="G44" s="15">
        <f>+G15+G16</f>
        <v>390160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25">
      <c r="B45" t="s">
        <v>77</v>
      </c>
      <c r="G45" s="15">
        <f>+G17</f>
        <v>130156.08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25">
      <c r="B46" t="s">
        <v>2</v>
      </c>
      <c r="G46" s="15">
        <f>+G19</f>
        <v>1857142.857142857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25">
      <c r="B47" t="s">
        <v>55</v>
      </c>
      <c r="G47" s="15">
        <f>+G21</f>
        <v>227500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25">
      <c r="C48" t="s">
        <v>12</v>
      </c>
      <c r="G48" s="20">
        <f>SUM(G44:G47)</f>
        <v>2604958.9371428569</v>
      </c>
      <c r="H48" s="26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5"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5">
      <c r="B50" t="s">
        <v>3</v>
      </c>
      <c r="G50" s="15">
        <f>+G42-G48</f>
        <v>7410136.5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5"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5">
      <c r="C52" t="s">
        <v>48</v>
      </c>
      <c r="G52" s="15">
        <f>+G12</f>
        <v>1950000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5"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5">
      <c r="B54" t="s">
        <v>4</v>
      </c>
      <c r="G54" s="15">
        <f>+G50-G52</f>
        <v>5460136.5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5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5">
      <c r="C56" t="s">
        <v>56</v>
      </c>
      <c r="G56" s="15">
        <f>+G54*Assumptions!H37</f>
        <v>1911047.7749999999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5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5">
      <c r="B58" t="s">
        <v>14</v>
      </c>
      <c r="G58" s="15">
        <f>+G54-G56</f>
        <v>3549088.7250000001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5"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5">
      <c r="D60" t="s">
        <v>13</v>
      </c>
      <c r="G60" s="24">
        <f>+G13-G58</f>
        <v>-88.725000000093132</v>
      </c>
      <c r="H60" s="24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5"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5"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5"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5"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7:17" x14ac:dyDescent="0.25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7:17" x14ac:dyDescent="0.25"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7:17" x14ac:dyDescent="0.25"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7:17" x14ac:dyDescent="0.25"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7:17" x14ac:dyDescent="0.25"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7:17" x14ac:dyDescent="0.25"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7:17" x14ac:dyDescent="0.25"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7:17" x14ac:dyDescent="0.25"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7:17" x14ac:dyDescent="0.25"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7:17" x14ac:dyDescent="0.25"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7:17" x14ac:dyDescent="0.25"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7:17" x14ac:dyDescent="0.25"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7:17" x14ac:dyDescent="0.25"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7:17" x14ac:dyDescent="0.25"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7:17" x14ac:dyDescent="0.25"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7:17" x14ac:dyDescent="0.25"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7:17" x14ac:dyDescent="0.25"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7:17" x14ac:dyDescent="0.25"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7:17" x14ac:dyDescent="0.25"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7:17" x14ac:dyDescent="0.25"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7:17" x14ac:dyDescent="0.25"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</sheetData>
  <sheetProtection selectLockedCells="1"/>
  <phoneticPr fontId="0" type="noConversion"/>
  <pageMargins left="0.75" right="0.75" top="0.5" bottom="0.5" header="0.5" footer="0.25"/>
  <pageSetup orientation="portrait" r:id="rId1"/>
  <headerFooter alignWithMargins="0">
    <oddFooter>&amp;L&amp;9&amp;Z&amp;F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zoomScaleNormal="100" workbookViewId="0">
      <selection activeCell="C7" sqref="C7"/>
    </sheetView>
  </sheetViews>
  <sheetFormatPr defaultColWidth="9.109375" defaultRowHeight="13.2" x14ac:dyDescent="0.25"/>
  <cols>
    <col min="1" max="1" width="44.6640625" style="47" customWidth="1"/>
    <col min="2" max="2" width="8.88671875" style="47" customWidth="1"/>
    <col min="3" max="3" width="27" style="47" customWidth="1"/>
    <col min="4" max="4" width="3.6640625" style="47" customWidth="1"/>
    <col min="5" max="16384" width="9.109375" style="47"/>
  </cols>
  <sheetData>
    <row r="1" spans="1:7" x14ac:dyDescent="0.25">
      <c r="A1" s="45" t="s">
        <v>102</v>
      </c>
      <c r="B1" s="40"/>
      <c r="C1" s="40"/>
      <c r="D1" s="41"/>
      <c r="E1" s="46"/>
      <c r="F1" s="46"/>
      <c r="G1" s="46"/>
    </row>
    <row r="2" spans="1:7" x14ac:dyDescent="0.25">
      <c r="B2" s="40"/>
      <c r="C2" s="40"/>
      <c r="D2" s="41"/>
      <c r="E2" s="46"/>
      <c r="F2" s="46"/>
      <c r="G2" s="46"/>
    </row>
    <row r="3" spans="1:7" x14ac:dyDescent="0.25">
      <c r="A3" s="45" t="s">
        <v>103</v>
      </c>
      <c r="B3" s="40"/>
      <c r="C3" s="48">
        <f>+Assumptions!I19*1000</f>
        <v>40000</v>
      </c>
      <c r="D3" s="41"/>
      <c r="E3" s="49"/>
      <c r="F3" s="50"/>
      <c r="G3" s="46"/>
    </row>
    <row r="4" spans="1:7" x14ac:dyDescent="0.25">
      <c r="A4" s="45" t="s">
        <v>104</v>
      </c>
      <c r="B4" s="40"/>
      <c r="C4" s="48">
        <f>+C3*8760</f>
        <v>350400000</v>
      </c>
      <c r="D4" s="41"/>
      <c r="E4" s="49"/>
      <c r="F4" s="50"/>
      <c r="G4" s="46"/>
    </row>
    <row r="5" spans="1:7" x14ac:dyDescent="0.25">
      <c r="A5" s="45" t="s">
        <v>105</v>
      </c>
      <c r="B5" s="40"/>
      <c r="C5" s="48">
        <f>+C4*0.08</f>
        <v>28032000</v>
      </c>
      <c r="D5" s="41"/>
      <c r="E5" s="49" t="s">
        <v>106</v>
      </c>
      <c r="F5" s="50"/>
      <c r="G5" s="46"/>
    </row>
    <row r="6" spans="1:7" x14ac:dyDescent="0.25">
      <c r="A6" s="51" t="s">
        <v>107</v>
      </c>
      <c r="B6" s="40"/>
      <c r="C6" s="52">
        <f>+C4-C5</f>
        <v>322368000</v>
      </c>
      <c r="D6" s="41"/>
      <c r="E6" s="49"/>
      <c r="F6" s="50"/>
      <c r="G6" s="46"/>
    </row>
    <row r="7" spans="1:7" x14ac:dyDescent="0.25">
      <c r="A7" s="45" t="s">
        <v>16</v>
      </c>
      <c r="B7" s="40"/>
      <c r="C7" s="53">
        <f>+Assumptions!I17</f>
        <v>0.01</v>
      </c>
      <c r="D7" s="41"/>
      <c r="E7" s="54" t="s">
        <v>108</v>
      </c>
      <c r="F7" s="50"/>
      <c r="G7" s="46"/>
    </row>
    <row r="8" spans="1:7" x14ac:dyDescent="0.25">
      <c r="A8" s="45" t="s">
        <v>109</v>
      </c>
      <c r="B8" s="40"/>
      <c r="C8" s="55">
        <f>+C6*C7</f>
        <v>3223680</v>
      </c>
      <c r="D8" s="41"/>
      <c r="E8" s="49"/>
      <c r="F8" s="50"/>
      <c r="G8" s="46"/>
    </row>
    <row r="9" spans="1:7" x14ac:dyDescent="0.25">
      <c r="A9" s="56" t="s">
        <v>110</v>
      </c>
      <c r="B9" s="57"/>
      <c r="C9" s="48">
        <f>+Assumptions!I23</f>
        <v>9500</v>
      </c>
      <c r="D9" s="42"/>
      <c r="E9" s="54" t="s">
        <v>108</v>
      </c>
      <c r="F9" s="46"/>
      <c r="G9" s="46"/>
    </row>
    <row r="10" spans="1:7" x14ac:dyDescent="0.25">
      <c r="A10" s="56" t="s">
        <v>111</v>
      </c>
      <c r="B10" s="57"/>
      <c r="C10" s="48">
        <f>+C9*C8</f>
        <v>30624960000</v>
      </c>
      <c r="D10" s="42"/>
      <c r="E10" s="54"/>
      <c r="F10" s="46"/>
      <c r="G10" s="46"/>
    </row>
    <row r="11" spans="1:7" x14ac:dyDescent="0.25">
      <c r="A11" s="56" t="s">
        <v>112</v>
      </c>
      <c r="B11" s="57"/>
      <c r="C11" s="48">
        <f>+C10/1000000</f>
        <v>30624.959999999999</v>
      </c>
      <c r="D11" s="42"/>
      <c r="G11" s="46"/>
    </row>
    <row r="12" spans="1:7" x14ac:dyDescent="0.25">
      <c r="A12" s="56" t="s">
        <v>113</v>
      </c>
      <c r="B12" s="57"/>
      <c r="C12" s="48">
        <f>+C11/365</f>
        <v>83.903999999999996</v>
      </c>
      <c r="E12" s="46" t="s">
        <v>114</v>
      </c>
      <c r="F12" s="46"/>
      <c r="G12" s="46"/>
    </row>
    <row r="13" spans="1:7" x14ac:dyDescent="0.25">
      <c r="A13" s="58" t="s">
        <v>115</v>
      </c>
      <c r="B13" s="57"/>
      <c r="C13" s="43">
        <f>+Assumptions!I25</f>
        <v>4.25</v>
      </c>
      <c r="D13" s="42"/>
      <c r="E13" s="54" t="s">
        <v>108</v>
      </c>
      <c r="F13" s="46"/>
      <c r="G13" s="46"/>
    </row>
    <row r="14" spans="1:7" x14ac:dyDescent="0.25">
      <c r="A14" s="56" t="s">
        <v>116</v>
      </c>
      <c r="B14" s="57"/>
      <c r="C14" s="59">
        <f>+C13*C11</f>
        <v>130156.08</v>
      </c>
      <c r="D14" s="42"/>
      <c r="E14" s="54"/>
      <c r="F14" s="46"/>
      <c r="G14" s="46"/>
    </row>
    <row r="15" spans="1:7" x14ac:dyDescent="0.25">
      <c r="A15" s="57"/>
      <c r="B15" s="57"/>
      <c r="C15" s="48"/>
      <c r="D15" s="42"/>
      <c r="E15" s="54"/>
      <c r="F15" s="46"/>
      <c r="G15" s="46"/>
    </row>
    <row r="16" spans="1:7" x14ac:dyDescent="0.25">
      <c r="A16" s="60"/>
      <c r="B16" s="60"/>
      <c r="C16" s="44"/>
      <c r="D16" s="44"/>
      <c r="E16" s="61"/>
      <c r="F16" s="62"/>
      <c r="G16" s="46"/>
    </row>
    <row r="17" spans="1:7" x14ac:dyDescent="0.25">
      <c r="A17" s="60"/>
      <c r="B17" s="60"/>
      <c r="C17" s="60"/>
      <c r="D17" s="60"/>
      <c r="E17" s="63"/>
      <c r="F17" s="62"/>
      <c r="G17" s="46"/>
    </row>
    <row r="18" spans="1:7" x14ac:dyDescent="0.25">
      <c r="A18" s="60"/>
      <c r="B18" s="60"/>
      <c r="C18" s="64"/>
      <c r="D18" s="65"/>
      <c r="E18" s="63"/>
      <c r="F18" s="66"/>
      <c r="G18" s="46"/>
    </row>
    <row r="19" spans="1:7" x14ac:dyDescent="0.25">
      <c r="C19" s="40"/>
    </row>
    <row r="20" spans="1:7" x14ac:dyDescent="0.25">
      <c r="B20" s="40"/>
      <c r="C20" s="40"/>
      <c r="D20" s="40"/>
    </row>
    <row r="21" spans="1:7" x14ac:dyDescent="0.25">
      <c r="B21" s="40"/>
      <c r="C21" s="40"/>
      <c r="D21" s="40"/>
    </row>
    <row r="22" spans="1:7" x14ac:dyDescent="0.25">
      <c r="B22" s="40"/>
      <c r="C22" s="40"/>
      <c r="D22" s="40"/>
    </row>
    <row r="23" spans="1:7" x14ac:dyDescent="0.25">
      <c r="B23" s="40"/>
      <c r="C23" s="40"/>
      <c r="D23" s="40"/>
    </row>
    <row r="24" spans="1:7" x14ac:dyDescent="0.25">
      <c r="B24" s="40"/>
      <c r="C24" s="40"/>
      <c r="D24" s="40"/>
    </row>
    <row r="25" spans="1:7" x14ac:dyDescent="0.25">
      <c r="B25" s="40"/>
      <c r="C25" s="40"/>
      <c r="D25" s="40"/>
    </row>
    <row r="26" spans="1:7" x14ac:dyDescent="0.25">
      <c r="B26" s="40"/>
      <c r="C26" s="40"/>
      <c r="D26" s="40"/>
    </row>
    <row r="27" spans="1:7" x14ac:dyDescent="0.25">
      <c r="B27" s="40"/>
      <c r="C27" s="40"/>
      <c r="D27" s="40"/>
    </row>
    <row r="28" spans="1:7" x14ac:dyDescent="0.25">
      <c r="B28" s="40"/>
      <c r="C28" s="40"/>
      <c r="D28" s="40"/>
    </row>
    <row r="29" spans="1:7" x14ac:dyDescent="0.25">
      <c r="B29" s="40"/>
      <c r="C29" s="40"/>
      <c r="D29" s="40"/>
    </row>
    <row r="30" spans="1:7" x14ac:dyDescent="0.25">
      <c r="B30" s="40"/>
      <c r="C30" s="40"/>
      <c r="D30" s="40"/>
    </row>
    <row r="31" spans="1:7" x14ac:dyDescent="0.25">
      <c r="B31" s="40"/>
      <c r="C31" s="40"/>
      <c r="D31" s="40"/>
    </row>
    <row r="32" spans="1:7" x14ac:dyDescent="0.25">
      <c r="B32" s="40"/>
      <c r="C32" s="40"/>
      <c r="D32" s="40"/>
    </row>
    <row r="33" spans="2:4" x14ac:dyDescent="0.25">
      <c r="B33" s="40"/>
      <c r="C33" s="40"/>
      <c r="D33" s="40"/>
    </row>
    <row r="34" spans="2:4" x14ac:dyDescent="0.25">
      <c r="B34" s="40"/>
      <c r="C34" s="40"/>
      <c r="D34" s="40"/>
    </row>
    <row r="35" spans="2:4" x14ac:dyDescent="0.25">
      <c r="B35" s="40"/>
      <c r="C35" s="40"/>
      <c r="D35" s="40"/>
    </row>
    <row r="36" spans="2:4" x14ac:dyDescent="0.25">
      <c r="B36" s="40"/>
      <c r="C36" s="40"/>
      <c r="D36" s="40"/>
    </row>
    <row r="37" spans="2:4" x14ac:dyDescent="0.25">
      <c r="B37" s="40"/>
      <c r="C37" s="40"/>
      <c r="D37" s="40"/>
    </row>
    <row r="38" spans="2:4" x14ac:dyDescent="0.25">
      <c r="B38" s="40"/>
      <c r="C38" s="40"/>
      <c r="D38" s="40"/>
    </row>
    <row r="39" spans="2:4" x14ac:dyDescent="0.25">
      <c r="B39" s="40"/>
      <c r="C39" s="40"/>
      <c r="D39" s="40"/>
    </row>
    <row r="40" spans="2:4" x14ac:dyDescent="0.25">
      <c r="B40" s="40"/>
      <c r="C40" s="40"/>
      <c r="D40" s="40"/>
    </row>
    <row r="41" spans="2:4" x14ac:dyDescent="0.25">
      <c r="B41" s="40"/>
      <c r="C41" s="40"/>
      <c r="D41" s="40"/>
    </row>
    <row r="42" spans="2:4" x14ac:dyDescent="0.25">
      <c r="B42" s="40"/>
      <c r="C42" s="40"/>
      <c r="D42" s="40"/>
    </row>
    <row r="43" spans="2:4" x14ac:dyDescent="0.25">
      <c r="B43" s="40"/>
      <c r="C43" s="40"/>
      <c r="D43" s="40"/>
    </row>
    <row r="44" spans="2:4" x14ac:dyDescent="0.25">
      <c r="B44" s="40"/>
      <c r="C44" s="40"/>
      <c r="D44" s="40"/>
    </row>
    <row r="45" spans="2:4" x14ac:dyDescent="0.25">
      <c r="B45" s="40"/>
      <c r="C45" s="40"/>
      <c r="D45" s="40"/>
    </row>
    <row r="46" spans="2:4" x14ac:dyDescent="0.25">
      <c r="B46" s="40"/>
      <c r="C46" s="40"/>
      <c r="D46" s="40"/>
    </row>
    <row r="47" spans="2:4" x14ac:dyDescent="0.25">
      <c r="B47" s="40"/>
      <c r="C47" s="40"/>
      <c r="D47" s="40"/>
    </row>
    <row r="48" spans="2:4" x14ac:dyDescent="0.25">
      <c r="B48" s="40"/>
      <c r="C48" s="40"/>
      <c r="D48" s="40"/>
    </row>
    <row r="49" spans="2:4" x14ac:dyDescent="0.25">
      <c r="B49" s="40"/>
      <c r="C49" s="40"/>
      <c r="D49" s="40"/>
    </row>
    <row r="50" spans="2:4" x14ac:dyDescent="0.25">
      <c r="B50" s="40"/>
      <c r="C50" s="40"/>
      <c r="D50" s="40"/>
    </row>
    <row r="51" spans="2:4" x14ac:dyDescent="0.25">
      <c r="B51" s="40"/>
      <c r="C51" s="40"/>
      <c r="D51" s="40"/>
    </row>
    <row r="52" spans="2:4" x14ac:dyDescent="0.25">
      <c r="B52" s="40"/>
      <c r="C52" s="40"/>
      <c r="D52" s="40"/>
    </row>
    <row r="53" spans="2:4" x14ac:dyDescent="0.25">
      <c r="B53" s="40"/>
      <c r="C53" s="40"/>
      <c r="D53" s="40"/>
    </row>
    <row r="54" spans="2:4" x14ac:dyDescent="0.25">
      <c r="B54" s="40"/>
      <c r="C54" s="40"/>
      <c r="D54" s="40"/>
    </row>
    <row r="55" spans="2:4" x14ac:dyDescent="0.25">
      <c r="B55" s="40"/>
      <c r="C55" s="40"/>
      <c r="D55" s="40"/>
    </row>
    <row r="56" spans="2:4" x14ac:dyDescent="0.25">
      <c r="B56" s="40"/>
      <c r="C56" s="40"/>
      <c r="D56" s="40"/>
    </row>
    <row r="57" spans="2:4" x14ac:dyDescent="0.25">
      <c r="B57" s="40"/>
      <c r="C57" s="40"/>
      <c r="D57" s="40"/>
    </row>
    <row r="58" spans="2:4" x14ac:dyDescent="0.25">
      <c r="B58" s="40"/>
      <c r="C58" s="40"/>
      <c r="D58" s="40"/>
    </row>
    <row r="59" spans="2:4" x14ac:dyDescent="0.25">
      <c r="B59" s="40"/>
      <c r="C59" s="40"/>
      <c r="D59" s="40"/>
    </row>
    <row r="60" spans="2:4" x14ac:dyDescent="0.25">
      <c r="B60" s="40"/>
      <c r="C60" s="40"/>
      <c r="D60" s="40"/>
    </row>
    <row r="61" spans="2:4" x14ac:dyDescent="0.25">
      <c r="B61" s="40"/>
      <c r="C61" s="40"/>
      <c r="D61" s="40"/>
    </row>
    <row r="62" spans="2:4" x14ac:dyDescent="0.25">
      <c r="B62" s="40"/>
      <c r="C62" s="40"/>
      <c r="D62" s="40"/>
    </row>
    <row r="63" spans="2:4" x14ac:dyDescent="0.25">
      <c r="B63" s="40"/>
      <c r="C63" s="40"/>
      <c r="D63" s="40"/>
    </row>
    <row r="64" spans="2:4" x14ac:dyDescent="0.25">
      <c r="B64" s="40"/>
      <c r="C64" s="40"/>
      <c r="D64" s="40"/>
    </row>
    <row r="65" spans="2:4" x14ac:dyDescent="0.25">
      <c r="B65" s="40"/>
      <c r="C65" s="40"/>
      <c r="D65" s="40"/>
    </row>
    <row r="66" spans="2:4" x14ac:dyDescent="0.25">
      <c r="B66" s="40"/>
      <c r="C66" s="40"/>
      <c r="D66" s="40"/>
    </row>
    <row r="67" spans="2:4" x14ac:dyDescent="0.25">
      <c r="B67" s="40"/>
      <c r="C67" s="40"/>
      <c r="D67" s="40"/>
    </row>
    <row r="68" spans="2:4" x14ac:dyDescent="0.25">
      <c r="B68" s="40"/>
      <c r="C68" s="40"/>
      <c r="D68" s="40"/>
    </row>
    <row r="69" spans="2:4" x14ac:dyDescent="0.25">
      <c r="B69" s="40"/>
      <c r="C69" s="40"/>
      <c r="D69" s="40"/>
    </row>
    <row r="70" spans="2:4" x14ac:dyDescent="0.25">
      <c r="B70" s="40"/>
      <c r="C70" s="40"/>
      <c r="D70" s="40"/>
    </row>
    <row r="71" spans="2:4" x14ac:dyDescent="0.25">
      <c r="B71" s="40"/>
      <c r="C71" s="40"/>
      <c r="D71" s="40"/>
    </row>
    <row r="72" spans="2:4" x14ac:dyDescent="0.25">
      <c r="B72" s="40"/>
      <c r="C72" s="40"/>
      <c r="D72" s="40"/>
    </row>
    <row r="73" spans="2:4" x14ac:dyDescent="0.25">
      <c r="B73" s="40"/>
      <c r="C73" s="40"/>
      <c r="D73" s="40"/>
    </row>
    <row r="74" spans="2:4" x14ac:dyDescent="0.25">
      <c r="B74" s="40"/>
      <c r="C74" s="40"/>
      <c r="D74" s="40"/>
    </row>
    <row r="75" spans="2:4" x14ac:dyDescent="0.25">
      <c r="B75" s="40"/>
      <c r="C75" s="40"/>
      <c r="D75" s="40"/>
    </row>
    <row r="76" spans="2:4" x14ac:dyDescent="0.25">
      <c r="B76" s="40"/>
      <c r="C76" s="40"/>
      <c r="D76" s="40"/>
    </row>
    <row r="77" spans="2:4" x14ac:dyDescent="0.25">
      <c r="B77" s="40"/>
      <c r="C77" s="40"/>
      <c r="D77" s="40"/>
    </row>
    <row r="78" spans="2:4" x14ac:dyDescent="0.25">
      <c r="B78" s="40"/>
      <c r="C78" s="40"/>
      <c r="D78" s="40"/>
    </row>
    <row r="79" spans="2:4" x14ac:dyDescent="0.25">
      <c r="B79" s="40"/>
      <c r="C79" s="40"/>
      <c r="D79" s="40"/>
    </row>
    <row r="80" spans="2:4" x14ac:dyDescent="0.25">
      <c r="B80" s="40"/>
      <c r="C80" s="40"/>
      <c r="D80" s="40"/>
    </row>
    <row r="81" spans="2:4" x14ac:dyDescent="0.25">
      <c r="B81" s="40"/>
      <c r="C81" s="40"/>
      <c r="D81" s="40"/>
    </row>
    <row r="82" spans="2:4" x14ac:dyDescent="0.25">
      <c r="B82" s="40"/>
      <c r="C82" s="40"/>
      <c r="D82" s="40"/>
    </row>
    <row r="83" spans="2:4" x14ac:dyDescent="0.25">
      <c r="B83" s="40"/>
      <c r="C83" s="40"/>
      <c r="D83" s="40"/>
    </row>
    <row r="84" spans="2:4" x14ac:dyDescent="0.25">
      <c r="B84" s="40"/>
      <c r="C84" s="40"/>
      <c r="D84" s="40"/>
    </row>
    <row r="85" spans="2:4" x14ac:dyDescent="0.25">
      <c r="B85" s="40"/>
      <c r="C85" s="40"/>
      <c r="D85" s="40"/>
    </row>
    <row r="86" spans="2:4" x14ac:dyDescent="0.25">
      <c r="B86" s="40"/>
      <c r="C86" s="40"/>
      <c r="D86" s="40"/>
    </row>
    <row r="87" spans="2:4" x14ac:dyDescent="0.25">
      <c r="B87" s="40"/>
      <c r="C87" s="40"/>
      <c r="D87" s="40"/>
    </row>
    <row r="88" spans="2:4" x14ac:dyDescent="0.25">
      <c r="B88" s="40"/>
      <c r="C88" s="40"/>
      <c r="D88" s="40"/>
    </row>
    <row r="89" spans="2:4" x14ac:dyDescent="0.25">
      <c r="B89" s="40"/>
      <c r="C89" s="40"/>
      <c r="D89" s="40"/>
    </row>
    <row r="90" spans="2:4" x14ac:dyDescent="0.25">
      <c r="B90" s="40"/>
      <c r="C90" s="40"/>
      <c r="D90" s="40"/>
    </row>
    <row r="91" spans="2:4" x14ac:dyDescent="0.25">
      <c r="B91" s="40"/>
      <c r="C91" s="40"/>
      <c r="D91" s="40"/>
    </row>
    <row r="92" spans="2:4" x14ac:dyDescent="0.25">
      <c r="B92" s="40"/>
      <c r="C92" s="40"/>
      <c r="D92" s="40"/>
    </row>
    <row r="93" spans="2:4" x14ac:dyDescent="0.25">
      <c r="B93" s="40"/>
      <c r="C93" s="40"/>
      <c r="D93" s="40"/>
    </row>
    <row r="94" spans="2:4" x14ac:dyDescent="0.25">
      <c r="B94" s="40"/>
      <c r="C94" s="40"/>
      <c r="D94" s="40"/>
    </row>
    <row r="95" spans="2:4" x14ac:dyDescent="0.25">
      <c r="B95" s="40"/>
      <c r="C95" s="40"/>
      <c r="D95" s="40"/>
    </row>
    <row r="96" spans="2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  <row r="114" spans="2:4" x14ac:dyDescent="0.25">
      <c r="B114" s="40"/>
      <c r="C114" s="40"/>
      <c r="D114" s="40"/>
    </row>
    <row r="115" spans="2:4" x14ac:dyDescent="0.25">
      <c r="B115" s="40"/>
      <c r="C115" s="40"/>
      <c r="D115" s="40"/>
    </row>
    <row r="116" spans="2:4" x14ac:dyDescent="0.25">
      <c r="B116" s="40"/>
      <c r="C116" s="40"/>
      <c r="D116" s="40"/>
    </row>
    <row r="117" spans="2:4" x14ac:dyDescent="0.25">
      <c r="B117" s="40"/>
      <c r="C117" s="40"/>
      <c r="D117" s="40"/>
    </row>
    <row r="118" spans="2:4" x14ac:dyDescent="0.25">
      <c r="B118" s="40"/>
      <c r="C118" s="40"/>
      <c r="D118" s="40"/>
    </row>
    <row r="119" spans="2:4" x14ac:dyDescent="0.25">
      <c r="B119" s="40"/>
      <c r="C119" s="40"/>
      <c r="D119" s="40"/>
    </row>
    <row r="120" spans="2:4" x14ac:dyDescent="0.25">
      <c r="B120" s="40"/>
      <c r="C120" s="40"/>
      <c r="D120" s="40"/>
    </row>
    <row r="121" spans="2:4" x14ac:dyDescent="0.25">
      <c r="B121" s="40"/>
      <c r="C121" s="40"/>
      <c r="D121" s="40"/>
    </row>
    <row r="122" spans="2:4" x14ac:dyDescent="0.25">
      <c r="B122" s="40"/>
      <c r="C122" s="40"/>
      <c r="D122" s="40"/>
    </row>
    <row r="123" spans="2:4" x14ac:dyDescent="0.25">
      <c r="B123" s="40"/>
      <c r="C123" s="40"/>
      <c r="D123" s="40"/>
    </row>
    <row r="124" spans="2:4" x14ac:dyDescent="0.25">
      <c r="B124" s="40"/>
      <c r="C124" s="40"/>
      <c r="D124" s="40"/>
    </row>
    <row r="125" spans="2:4" x14ac:dyDescent="0.25">
      <c r="B125" s="40"/>
      <c r="C125" s="40"/>
      <c r="D125" s="40"/>
    </row>
    <row r="126" spans="2:4" x14ac:dyDescent="0.25">
      <c r="B126" s="40"/>
      <c r="C126" s="40"/>
      <c r="D126" s="40"/>
    </row>
    <row r="127" spans="2:4" x14ac:dyDescent="0.25">
      <c r="B127" s="40"/>
      <c r="C127" s="40"/>
      <c r="D127" s="40"/>
    </row>
    <row r="128" spans="2:4" x14ac:dyDescent="0.25">
      <c r="B128" s="40"/>
      <c r="C128" s="40"/>
      <c r="D128" s="40"/>
    </row>
    <row r="129" spans="2:4" x14ac:dyDescent="0.25">
      <c r="B129" s="40"/>
      <c r="C129" s="40"/>
      <c r="D129" s="40"/>
    </row>
    <row r="130" spans="2:4" x14ac:dyDescent="0.25">
      <c r="B130" s="40"/>
      <c r="C130" s="40"/>
      <c r="D130" s="40"/>
    </row>
    <row r="131" spans="2:4" x14ac:dyDescent="0.25">
      <c r="B131" s="40"/>
      <c r="C131" s="40"/>
      <c r="D131" s="40"/>
    </row>
    <row r="132" spans="2:4" x14ac:dyDescent="0.25">
      <c r="B132" s="40"/>
      <c r="C132" s="40"/>
      <c r="D132" s="40"/>
    </row>
    <row r="133" spans="2:4" x14ac:dyDescent="0.25">
      <c r="B133" s="40"/>
      <c r="C133" s="40"/>
      <c r="D133" s="40"/>
    </row>
    <row r="134" spans="2:4" x14ac:dyDescent="0.25">
      <c r="B134" s="40"/>
      <c r="C134" s="40"/>
      <c r="D134" s="40"/>
    </row>
    <row r="135" spans="2:4" x14ac:dyDescent="0.25">
      <c r="B135" s="40"/>
      <c r="C135" s="40"/>
      <c r="D135" s="40"/>
    </row>
    <row r="136" spans="2:4" x14ac:dyDescent="0.25">
      <c r="B136" s="40"/>
      <c r="C136" s="40"/>
      <c r="D136" s="40"/>
    </row>
    <row r="137" spans="2:4" x14ac:dyDescent="0.25">
      <c r="B137" s="40"/>
      <c r="C137" s="40"/>
      <c r="D137" s="40"/>
    </row>
    <row r="138" spans="2:4" x14ac:dyDescent="0.25">
      <c r="B138" s="40"/>
      <c r="C138" s="40"/>
      <c r="D138" s="40"/>
    </row>
    <row r="139" spans="2:4" x14ac:dyDescent="0.25">
      <c r="B139" s="40"/>
      <c r="C139" s="40"/>
      <c r="D139" s="40"/>
    </row>
    <row r="140" spans="2:4" x14ac:dyDescent="0.25">
      <c r="B140" s="40"/>
      <c r="C140" s="40"/>
      <c r="D140" s="40"/>
    </row>
    <row r="141" spans="2:4" x14ac:dyDescent="0.25">
      <c r="B141" s="40"/>
      <c r="C141" s="40"/>
      <c r="D141" s="40"/>
    </row>
    <row r="142" spans="2:4" x14ac:dyDescent="0.25">
      <c r="B142" s="40"/>
      <c r="C142" s="40"/>
      <c r="D142" s="40"/>
    </row>
    <row r="143" spans="2:4" x14ac:dyDescent="0.25">
      <c r="B143" s="40"/>
      <c r="C143" s="40"/>
      <c r="D143" s="40"/>
    </row>
    <row r="144" spans="2:4" x14ac:dyDescent="0.25">
      <c r="B144" s="40"/>
      <c r="C144" s="40"/>
      <c r="D144" s="40"/>
    </row>
    <row r="145" spans="2:4" x14ac:dyDescent="0.25">
      <c r="B145" s="40"/>
      <c r="C145" s="40"/>
      <c r="D145" s="40"/>
    </row>
    <row r="146" spans="2:4" x14ac:dyDescent="0.25">
      <c r="B146" s="40"/>
      <c r="C146" s="40"/>
      <c r="D146" s="40"/>
    </row>
    <row r="147" spans="2:4" x14ac:dyDescent="0.25">
      <c r="B147" s="40"/>
      <c r="C147" s="40"/>
      <c r="D147" s="40"/>
    </row>
    <row r="148" spans="2:4" x14ac:dyDescent="0.25">
      <c r="B148" s="40"/>
      <c r="C148" s="40"/>
      <c r="D148" s="40"/>
    </row>
    <row r="149" spans="2:4" x14ac:dyDescent="0.25">
      <c r="B149" s="40"/>
      <c r="C149" s="40"/>
      <c r="D149" s="40"/>
    </row>
    <row r="150" spans="2:4" x14ac:dyDescent="0.25">
      <c r="B150" s="40"/>
      <c r="C150" s="40"/>
      <c r="D150" s="40"/>
    </row>
    <row r="151" spans="2:4" x14ac:dyDescent="0.25">
      <c r="B151" s="40"/>
      <c r="C151" s="40"/>
      <c r="D151" s="40"/>
    </row>
    <row r="152" spans="2:4" x14ac:dyDescent="0.25">
      <c r="B152" s="40"/>
      <c r="C152" s="40"/>
      <c r="D152" s="40"/>
    </row>
    <row r="153" spans="2:4" x14ac:dyDescent="0.25">
      <c r="B153" s="40"/>
      <c r="C153" s="40"/>
      <c r="D153" s="40"/>
    </row>
    <row r="154" spans="2:4" x14ac:dyDescent="0.25">
      <c r="B154" s="40"/>
      <c r="C154" s="40"/>
      <c r="D154" s="40"/>
    </row>
    <row r="155" spans="2:4" x14ac:dyDescent="0.25">
      <c r="B155" s="40"/>
      <c r="C155" s="40"/>
      <c r="D155" s="40"/>
    </row>
    <row r="156" spans="2:4" x14ac:dyDescent="0.25">
      <c r="B156" s="40"/>
      <c r="C156" s="40"/>
      <c r="D156" s="40"/>
    </row>
    <row r="157" spans="2:4" x14ac:dyDescent="0.25">
      <c r="B157" s="40"/>
      <c r="C157" s="40"/>
      <c r="D157" s="40"/>
    </row>
    <row r="158" spans="2:4" x14ac:dyDescent="0.25">
      <c r="B158" s="40"/>
      <c r="C158" s="40"/>
      <c r="D158" s="40"/>
    </row>
    <row r="159" spans="2:4" x14ac:dyDescent="0.25">
      <c r="B159" s="40"/>
      <c r="C159" s="40"/>
      <c r="D159" s="40"/>
    </row>
    <row r="160" spans="2:4" x14ac:dyDescent="0.25">
      <c r="B160" s="40"/>
      <c r="C160" s="40"/>
      <c r="D160" s="40"/>
    </row>
    <row r="161" spans="2:4" x14ac:dyDescent="0.25">
      <c r="B161" s="40"/>
      <c r="C161" s="40"/>
      <c r="D161" s="40"/>
    </row>
    <row r="162" spans="2:4" x14ac:dyDescent="0.25">
      <c r="B162" s="40"/>
      <c r="C162" s="40"/>
      <c r="D162" s="40"/>
    </row>
    <row r="163" spans="2:4" x14ac:dyDescent="0.25">
      <c r="B163" s="40"/>
      <c r="C163" s="40"/>
      <c r="D163" s="40"/>
    </row>
    <row r="164" spans="2:4" x14ac:dyDescent="0.25">
      <c r="B164" s="40"/>
      <c r="C164" s="40"/>
      <c r="D164" s="40"/>
    </row>
    <row r="165" spans="2:4" x14ac:dyDescent="0.25">
      <c r="B165" s="40"/>
      <c r="C165" s="40"/>
      <c r="D165" s="40"/>
    </row>
    <row r="166" spans="2:4" x14ac:dyDescent="0.25">
      <c r="B166" s="40"/>
      <c r="C166" s="40"/>
      <c r="D166" s="40"/>
    </row>
    <row r="167" spans="2:4" x14ac:dyDescent="0.25">
      <c r="B167" s="40"/>
      <c r="C167" s="40"/>
      <c r="D167" s="40"/>
    </row>
    <row r="168" spans="2:4" x14ac:dyDescent="0.25">
      <c r="B168" s="40"/>
      <c r="C168" s="40"/>
      <c r="D168" s="40"/>
    </row>
    <row r="169" spans="2:4" x14ac:dyDescent="0.25">
      <c r="B169" s="40"/>
      <c r="C169" s="40"/>
      <c r="D169" s="40"/>
    </row>
    <row r="170" spans="2:4" x14ac:dyDescent="0.25">
      <c r="B170" s="40"/>
      <c r="C170" s="40"/>
      <c r="D170" s="40"/>
    </row>
    <row r="171" spans="2:4" x14ac:dyDescent="0.25">
      <c r="B171" s="40"/>
      <c r="C171" s="40"/>
      <c r="D171" s="40"/>
    </row>
    <row r="172" spans="2:4" x14ac:dyDescent="0.25">
      <c r="B172" s="40"/>
      <c r="C172" s="40"/>
      <c r="D172" s="40"/>
    </row>
    <row r="173" spans="2:4" x14ac:dyDescent="0.25">
      <c r="B173" s="40"/>
      <c r="C173" s="40"/>
      <c r="D173" s="40"/>
    </row>
    <row r="174" spans="2:4" x14ac:dyDescent="0.25">
      <c r="B174" s="40"/>
      <c r="C174" s="40"/>
      <c r="D174" s="40"/>
    </row>
    <row r="175" spans="2:4" x14ac:dyDescent="0.25">
      <c r="B175" s="40"/>
      <c r="C175" s="40"/>
      <c r="D175" s="40"/>
    </row>
    <row r="176" spans="2:4" x14ac:dyDescent="0.25">
      <c r="B176" s="40"/>
      <c r="C176" s="40"/>
      <c r="D176" s="40"/>
    </row>
    <row r="177" spans="2:4" x14ac:dyDescent="0.25">
      <c r="B177" s="40"/>
      <c r="C177" s="40"/>
      <c r="D177" s="40"/>
    </row>
    <row r="178" spans="2:4" x14ac:dyDescent="0.25">
      <c r="B178" s="40"/>
      <c r="C178" s="40"/>
      <c r="D178" s="40"/>
    </row>
    <row r="179" spans="2:4" x14ac:dyDescent="0.25">
      <c r="B179" s="40"/>
      <c r="C179" s="40"/>
      <c r="D179" s="40"/>
    </row>
    <row r="180" spans="2:4" x14ac:dyDescent="0.25">
      <c r="B180" s="40"/>
      <c r="C180" s="40"/>
      <c r="D180" s="40"/>
    </row>
    <row r="181" spans="2:4" x14ac:dyDescent="0.25">
      <c r="B181" s="40"/>
      <c r="C181" s="40"/>
      <c r="D181" s="40"/>
    </row>
    <row r="182" spans="2:4" x14ac:dyDescent="0.25">
      <c r="B182" s="40"/>
      <c r="C182" s="40"/>
      <c r="D182" s="40"/>
    </row>
    <row r="183" spans="2:4" x14ac:dyDescent="0.25">
      <c r="B183" s="40"/>
      <c r="C183" s="40"/>
      <c r="D183" s="40"/>
    </row>
    <row r="184" spans="2:4" x14ac:dyDescent="0.25">
      <c r="B184" s="40"/>
      <c r="C184" s="40"/>
      <c r="D184" s="40"/>
    </row>
    <row r="185" spans="2:4" x14ac:dyDescent="0.25">
      <c r="B185" s="40"/>
      <c r="C185" s="40"/>
      <c r="D185" s="40"/>
    </row>
    <row r="186" spans="2:4" x14ac:dyDescent="0.25">
      <c r="B186" s="40"/>
      <c r="C186" s="40"/>
      <c r="D186" s="40"/>
    </row>
    <row r="187" spans="2:4" x14ac:dyDescent="0.25">
      <c r="B187" s="40"/>
      <c r="C187" s="40"/>
      <c r="D187" s="40"/>
    </row>
    <row r="188" spans="2:4" x14ac:dyDescent="0.25">
      <c r="B188" s="40"/>
      <c r="C188" s="40"/>
      <c r="D188" s="40"/>
    </row>
    <row r="189" spans="2:4" x14ac:dyDescent="0.25">
      <c r="B189" s="40"/>
      <c r="C189" s="40"/>
      <c r="D189" s="40"/>
    </row>
    <row r="190" spans="2:4" x14ac:dyDescent="0.25">
      <c r="B190" s="40"/>
      <c r="C190" s="40"/>
      <c r="D190" s="40"/>
    </row>
    <row r="191" spans="2:4" x14ac:dyDescent="0.25">
      <c r="B191" s="40"/>
      <c r="C191" s="40"/>
      <c r="D191" s="40"/>
    </row>
    <row r="192" spans="2:4" x14ac:dyDescent="0.25">
      <c r="B192" s="40"/>
      <c r="C192" s="40"/>
      <c r="D192" s="40"/>
    </row>
    <row r="193" spans="2:4" x14ac:dyDescent="0.25">
      <c r="B193" s="40"/>
      <c r="C193" s="40"/>
      <c r="D193" s="40"/>
    </row>
    <row r="194" spans="2:4" x14ac:dyDescent="0.25">
      <c r="B194" s="40"/>
      <c r="C194" s="40"/>
      <c r="D194" s="40"/>
    </row>
    <row r="195" spans="2:4" x14ac:dyDescent="0.25">
      <c r="B195" s="40"/>
      <c r="C195" s="40"/>
      <c r="D195" s="40"/>
    </row>
    <row r="196" spans="2:4" x14ac:dyDescent="0.25">
      <c r="B196" s="40"/>
      <c r="C196" s="40"/>
      <c r="D196" s="40"/>
    </row>
    <row r="197" spans="2:4" x14ac:dyDescent="0.25">
      <c r="B197" s="40"/>
      <c r="C197" s="40"/>
      <c r="D197" s="40"/>
    </row>
    <row r="198" spans="2:4" x14ac:dyDescent="0.25">
      <c r="B198" s="40"/>
      <c r="C198" s="40"/>
      <c r="D198" s="40"/>
    </row>
    <row r="199" spans="2:4" x14ac:dyDescent="0.25">
      <c r="B199" s="40"/>
      <c r="C199" s="40"/>
      <c r="D199" s="40"/>
    </row>
    <row r="200" spans="2:4" x14ac:dyDescent="0.25">
      <c r="B200" s="40"/>
      <c r="C200" s="40"/>
      <c r="D200" s="40"/>
    </row>
    <row r="201" spans="2:4" x14ac:dyDescent="0.25">
      <c r="B201" s="40"/>
      <c r="C201" s="40"/>
      <c r="D201" s="40"/>
    </row>
    <row r="202" spans="2:4" x14ac:dyDescent="0.25">
      <c r="B202" s="40"/>
      <c r="C202" s="40"/>
      <c r="D202" s="40"/>
    </row>
    <row r="203" spans="2:4" x14ac:dyDescent="0.25">
      <c r="B203" s="40"/>
      <c r="C203" s="40"/>
      <c r="D203" s="40"/>
    </row>
    <row r="204" spans="2:4" x14ac:dyDescent="0.25">
      <c r="B204" s="40"/>
      <c r="C204" s="40"/>
      <c r="D204" s="40"/>
    </row>
    <row r="205" spans="2:4" x14ac:dyDescent="0.25">
      <c r="B205" s="40"/>
      <c r="C205" s="40"/>
      <c r="D205" s="40"/>
    </row>
    <row r="206" spans="2:4" x14ac:dyDescent="0.25">
      <c r="B206" s="40"/>
      <c r="C206" s="40"/>
      <c r="D206" s="40"/>
    </row>
    <row r="207" spans="2:4" x14ac:dyDescent="0.25">
      <c r="B207" s="40"/>
      <c r="C207" s="40"/>
      <c r="D207" s="40"/>
    </row>
    <row r="208" spans="2:4" x14ac:dyDescent="0.25">
      <c r="B208" s="40"/>
      <c r="C208" s="40"/>
      <c r="D208" s="40"/>
    </row>
    <row r="209" spans="2:4" x14ac:dyDescent="0.25">
      <c r="B209" s="40"/>
      <c r="C209" s="40"/>
      <c r="D209" s="40"/>
    </row>
    <row r="210" spans="2:4" x14ac:dyDescent="0.25">
      <c r="B210" s="40"/>
      <c r="C210" s="40"/>
      <c r="D210" s="40"/>
    </row>
    <row r="211" spans="2:4" x14ac:dyDescent="0.25">
      <c r="B211" s="40"/>
      <c r="C211" s="40"/>
      <c r="D211" s="40"/>
    </row>
    <row r="212" spans="2:4" x14ac:dyDescent="0.25">
      <c r="B212" s="40"/>
      <c r="C212" s="40"/>
      <c r="D212" s="40"/>
    </row>
    <row r="213" spans="2:4" x14ac:dyDescent="0.25">
      <c r="B213" s="40"/>
      <c r="C213" s="40"/>
      <c r="D213" s="40"/>
    </row>
    <row r="214" spans="2:4" x14ac:dyDescent="0.25">
      <c r="B214" s="40"/>
      <c r="C214" s="40"/>
      <c r="D214" s="40"/>
    </row>
    <row r="215" spans="2:4" x14ac:dyDescent="0.25">
      <c r="B215" s="40"/>
      <c r="C215" s="40"/>
      <c r="D215" s="40"/>
    </row>
    <row r="216" spans="2:4" x14ac:dyDescent="0.25">
      <c r="B216" s="40"/>
      <c r="C216" s="40"/>
      <c r="D216" s="40"/>
    </row>
    <row r="217" spans="2:4" x14ac:dyDescent="0.25">
      <c r="B217" s="40"/>
      <c r="C217" s="40"/>
      <c r="D217" s="40"/>
    </row>
    <row r="218" spans="2:4" x14ac:dyDescent="0.25">
      <c r="B218" s="40"/>
      <c r="C218" s="40"/>
      <c r="D218" s="40"/>
    </row>
    <row r="219" spans="2:4" x14ac:dyDescent="0.25">
      <c r="B219" s="40"/>
      <c r="C219" s="40"/>
      <c r="D219" s="40"/>
    </row>
    <row r="220" spans="2:4" x14ac:dyDescent="0.25">
      <c r="B220" s="40"/>
      <c r="C220" s="40"/>
      <c r="D220" s="40"/>
    </row>
    <row r="221" spans="2:4" x14ac:dyDescent="0.25">
      <c r="B221" s="40"/>
      <c r="C221" s="40"/>
      <c r="D221" s="40"/>
    </row>
    <row r="222" spans="2:4" x14ac:dyDescent="0.25">
      <c r="B222" s="40"/>
      <c r="C222" s="40"/>
      <c r="D222" s="40"/>
    </row>
    <row r="223" spans="2:4" x14ac:dyDescent="0.25">
      <c r="B223" s="40"/>
      <c r="C223" s="40"/>
      <c r="D223" s="40"/>
    </row>
    <row r="224" spans="2:4" x14ac:dyDescent="0.25">
      <c r="B224" s="40"/>
      <c r="C224" s="40"/>
      <c r="D224" s="40"/>
    </row>
    <row r="225" spans="2:4" x14ac:dyDescent="0.25">
      <c r="B225" s="40"/>
      <c r="C225" s="40"/>
      <c r="D225" s="40"/>
    </row>
    <row r="226" spans="2:4" x14ac:dyDescent="0.25">
      <c r="B226" s="40"/>
      <c r="C226" s="40"/>
      <c r="D226" s="40"/>
    </row>
    <row r="227" spans="2:4" x14ac:dyDescent="0.25">
      <c r="B227" s="40"/>
      <c r="C227" s="40"/>
      <c r="D227" s="40"/>
    </row>
    <row r="228" spans="2:4" x14ac:dyDescent="0.25">
      <c r="B228" s="40"/>
      <c r="C228" s="40"/>
      <c r="D228" s="40"/>
    </row>
    <row r="229" spans="2:4" x14ac:dyDescent="0.25">
      <c r="B229" s="40"/>
      <c r="C229" s="40"/>
      <c r="D229" s="40"/>
    </row>
    <row r="230" spans="2:4" x14ac:dyDescent="0.25">
      <c r="B230" s="40"/>
      <c r="C230" s="40"/>
      <c r="D230" s="40"/>
    </row>
    <row r="231" spans="2:4" x14ac:dyDescent="0.25">
      <c r="B231" s="40"/>
      <c r="C231" s="40"/>
      <c r="D231" s="40"/>
    </row>
    <row r="232" spans="2:4" x14ac:dyDescent="0.25">
      <c r="B232" s="40"/>
      <c r="C232" s="40"/>
      <c r="D232" s="40"/>
    </row>
    <row r="233" spans="2:4" x14ac:dyDescent="0.25">
      <c r="B233" s="40"/>
      <c r="C233" s="40"/>
      <c r="D233" s="40"/>
    </row>
    <row r="234" spans="2:4" x14ac:dyDescent="0.25">
      <c r="B234" s="40"/>
      <c r="C234" s="40"/>
      <c r="D234" s="40"/>
    </row>
    <row r="235" spans="2:4" x14ac:dyDescent="0.25">
      <c r="B235" s="40"/>
      <c r="C235" s="40"/>
      <c r="D235" s="40"/>
    </row>
    <row r="236" spans="2:4" x14ac:dyDescent="0.25">
      <c r="B236" s="40"/>
      <c r="C236" s="40"/>
      <c r="D236" s="40"/>
    </row>
    <row r="237" spans="2:4" x14ac:dyDescent="0.25">
      <c r="B237" s="40"/>
      <c r="C237" s="40"/>
      <c r="D237" s="40"/>
    </row>
    <row r="238" spans="2:4" x14ac:dyDescent="0.25">
      <c r="B238" s="40"/>
      <c r="C238" s="40"/>
      <c r="D238" s="40"/>
    </row>
    <row r="239" spans="2:4" x14ac:dyDescent="0.25">
      <c r="B239" s="40"/>
      <c r="C239" s="40"/>
      <c r="D239" s="40"/>
    </row>
    <row r="240" spans="2:4" x14ac:dyDescent="0.25">
      <c r="B240" s="40"/>
      <c r="C240" s="40"/>
      <c r="D240" s="40"/>
    </row>
    <row r="241" spans="2:4" x14ac:dyDescent="0.25">
      <c r="B241" s="40"/>
      <c r="C241" s="40"/>
      <c r="D241" s="40"/>
    </row>
    <row r="242" spans="2:4" x14ac:dyDescent="0.25">
      <c r="B242" s="40"/>
      <c r="C242" s="40"/>
      <c r="D242" s="40"/>
    </row>
    <row r="243" spans="2:4" x14ac:dyDescent="0.25">
      <c r="B243" s="40"/>
      <c r="C243" s="40"/>
      <c r="D243" s="40"/>
    </row>
    <row r="244" spans="2:4" x14ac:dyDescent="0.25">
      <c r="B244" s="40"/>
      <c r="C244" s="40"/>
      <c r="D244" s="40"/>
    </row>
    <row r="245" spans="2:4" x14ac:dyDescent="0.25">
      <c r="B245" s="40"/>
      <c r="C245" s="40"/>
      <c r="D245" s="40"/>
    </row>
    <row r="246" spans="2:4" x14ac:dyDescent="0.25">
      <c r="B246" s="40"/>
      <c r="C246" s="40"/>
      <c r="D246" s="40"/>
    </row>
    <row r="247" spans="2:4" x14ac:dyDescent="0.25">
      <c r="B247" s="40"/>
      <c r="C247" s="40"/>
      <c r="D247" s="40"/>
    </row>
    <row r="248" spans="2:4" x14ac:dyDescent="0.25">
      <c r="B248" s="40"/>
      <c r="C248" s="40"/>
      <c r="D248" s="40"/>
    </row>
    <row r="249" spans="2:4" x14ac:dyDescent="0.25">
      <c r="B249" s="40"/>
      <c r="C249" s="40"/>
      <c r="D249" s="40"/>
    </row>
    <row r="250" spans="2:4" x14ac:dyDescent="0.25">
      <c r="B250" s="40"/>
      <c r="C250" s="40"/>
      <c r="D250" s="40"/>
    </row>
    <row r="251" spans="2:4" x14ac:dyDescent="0.25">
      <c r="B251" s="40"/>
      <c r="C251" s="40"/>
      <c r="D251" s="40"/>
    </row>
    <row r="252" spans="2:4" x14ac:dyDescent="0.25">
      <c r="B252" s="40"/>
      <c r="C252" s="40"/>
      <c r="D252" s="40"/>
    </row>
    <row r="253" spans="2:4" x14ac:dyDescent="0.25">
      <c r="B253" s="40"/>
      <c r="C253" s="40"/>
      <c r="D253" s="40"/>
    </row>
    <row r="254" spans="2:4" x14ac:dyDescent="0.25">
      <c r="B254" s="40"/>
      <c r="C254" s="40"/>
      <c r="D254" s="40"/>
    </row>
    <row r="255" spans="2:4" x14ac:dyDescent="0.25">
      <c r="B255" s="40"/>
      <c r="C255" s="40"/>
      <c r="D255" s="40"/>
    </row>
    <row r="256" spans="2:4" x14ac:dyDescent="0.25">
      <c r="B256" s="40"/>
      <c r="C256" s="40"/>
      <c r="D256" s="40"/>
    </row>
    <row r="257" spans="2:4" x14ac:dyDescent="0.25">
      <c r="B257" s="40"/>
      <c r="C257" s="40"/>
      <c r="D257" s="40"/>
    </row>
    <row r="258" spans="2:4" x14ac:dyDescent="0.25">
      <c r="B258" s="40"/>
      <c r="C258" s="40"/>
      <c r="D258" s="40"/>
    </row>
    <row r="259" spans="2:4" x14ac:dyDescent="0.25">
      <c r="B259" s="40"/>
      <c r="C259" s="40"/>
      <c r="D259" s="40"/>
    </row>
    <row r="260" spans="2:4" x14ac:dyDescent="0.25">
      <c r="B260" s="40"/>
      <c r="C260" s="40"/>
      <c r="D260" s="40"/>
    </row>
    <row r="261" spans="2:4" x14ac:dyDescent="0.25">
      <c r="B261" s="40"/>
      <c r="C261" s="40"/>
      <c r="D261" s="40"/>
    </row>
    <row r="262" spans="2:4" x14ac:dyDescent="0.25">
      <c r="B262" s="40"/>
      <c r="C262" s="40"/>
      <c r="D262" s="40"/>
    </row>
    <row r="263" spans="2:4" x14ac:dyDescent="0.25">
      <c r="B263" s="40"/>
      <c r="C263" s="40"/>
      <c r="D263" s="40"/>
    </row>
    <row r="264" spans="2:4" x14ac:dyDescent="0.25">
      <c r="B264" s="40"/>
      <c r="C264" s="40"/>
      <c r="D264" s="40"/>
    </row>
    <row r="265" spans="2:4" x14ac:dyDescent="0.25">
      <c r="B265" s="40"/>
      <c r="C265" s="40"/>
      <c r="D265" s="40"/>
    </row>
    <row r="266" spans="2:4" x14ac:dyDescent="0.25">
      <c r="B266" s="40"/>
      <c r="C266" s="40"/>
      <c r="D266" s="40"/>
    </row>
    <row r="267" spans="2:4" x14ac:dyDescent="0.25">
      <c r="B267" s="40"/>
      <c r="C267" s="40"/>
      <c r="D267" s="40"/>
    </row>
    <row r="268" spans="2:4" x14ac:dyDescent="0.25">
      <c r="B268" s="40"/>
      <c r="C268" s="40"/>
      <c r="D268" s="40"/>
    </row>
    <row r="269" spans="2:4" x14ac:dyDescent="0.25">
      <c r="B269" s="40"/>
      <c r="C269" s="40"/>
      <c r="D269" s="40"/>
    </row>
    <row r="270" spans="2:4" x14ac:dyDescent="0.25">
      <c r="B270" s="40"/>
      <c r="C270" s="40"/>
      <c r="D270" s="40"/>
    </row>
    <row r="271" spans="2:4" x14ac:dyDescent="0.25">
      <c r="B271" s="40"/>
      <c r="C271" s="40"/>
      <c r="D271" s="40"/>
    </row>
    <row r="272" spans="2:4" x14ac:dyDescent="0.25">
      <c r="B272" s="40"/>
      <c r="C272" s="40"/>
      <c r="D272" s="40"/>
    </row>
    <row r="273" spans="2:4" x14ac:dyDescent="0.25">
      <c r="B273" s="40"/>
      <c r="C273" s="40"/>
      <c r="D273" s="40"/>
    </row>
    <row r="274" spans="2:4" x14ac:dyDescent="0.25">
      <c r="B274" s="40"/>
      <c r="C274" s="40"/>
      <c r="D274" s="40"/>
    </row>
    <row r="275" spans="2:4" x14ac:dyDescent="0.25">
      <c r="B275" s="40"/>
      <c r="C275" s="40"/>
      <c r="D275" s="40"/>
    </row>
    <row r="276" spans="2:4" x14ac:dyDescent="0.25">
      <c r="B276" s="40"/>
      <c r="C276" s="40"/>
      <c r="D276" s="40"/>
    </row>
    <row r="277" spans="2:4" x14ac:dyDescent="0.25">
      <c r="B277" s="40"/>
      <c r="C277" s="40"/>
      <c r="D277" s="40"/>
    </row>
    <row r="278" spans="2:4" x14ac:dyDescent="0.25">
      <c r="B278" s="40"/>
      <c r="C278" s="40"/>
      <c r="D278" s="40"/>
    </row>
    <row r="279" spans="2:4" x14ac:dyDescent="0.25">
      <c r="B279" s="40"/>
      <c r="C279" s="40"/>
      <c r="D279" s="40"/>
    </row>
    <row r="280" spans="2:4" x14ac:dyDescent="0.25">
      <c r="B280" s="40"/>
      <c r="C280" s="40"/>
      <c r="D280" s="40"/>
    </row>
    <row r="281" spans="2:4" x14ac:dyDescent="0.25">
      <c r="B281" s="40"/>
      <c r="C281" s="40"/>
      <c r="D281" s="40"/>
    </row>
    <row r="282" spans="2:4" x14ac:dyDescent="0.25">
      <c r="B282" s="40"/>
      <c r="C282" s="40"/>
      <c r="D282" s="40"/>
    </row>
    <row r="283" spans="2:4" x14ac:dyDescent="0.25">
      <c r="B283" s="40"/>
      <c r="C283" s="40"/>
      <c r="D283" s="40"/>
    </row>
    <row r="284" spans="2:4" x14ac:dyDescent="0.25">
      <c r="B284" s="40"/>
      <c r="C284" s="40"/>
      <c r="D284" s="40"/>
    </row>
    <row r="285" spans="2:4" x14ac:dyDescent="0.25">
      <c r="B285" s="40"/>
      <c r="C285" s="40"/>
      <c r="D285" s="40"/>
    </row>
    <row r="286" spans="2:4" x14ac:dyDescent="0.25">
      <c r="B286" s="40"/>
      <c r="C286" s="40"/>
      <c r="D286" s="40"/>
    </row>
  </sheetData>
  <phoneticPr fontId="32" type="noConversion"/>
  <pageMargins left="0.75" right="0.75" top="0.25" bottom="0.25" header="0" footer="0"/>
  <pageSetup scale="89" fitToHeight="2" orientation="portrait" r:id="rId1"/>
  <headerFooter alignWithMargins="0">
    <oddFooter>&amp;L&amp;8&amp;Z&amp;F     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4"/>
  <sheetViews>
    <sheetView topLeftCell="A13" workbookViewId="0">
      <selection activeCell="A49" sqref="A49"/>
    </sheetView>
  </sheetViews>
  <sheetFormatPr defaultRowHeight="13.2" x14ac:dyDescent="0.25"/>
  <cols>
    <col min="3" max="3" width="12.109375" customWidth="1"/>
    <col min="4" max="4" width="11.6640625" customWidth="1"/>
    <col min="5" max="5" width="11.44140625" customWidth="1"/>
    <col min="6" max="6" width="11.109375" customWidth="1"/>
    <col min="7" max="8" width="11.33203125" bestFit="1" customWidth="1"/>
  </cols>
  <sheetData>
    <row r="5" spans="2:8" x14ac:dyDescent="0.25">
      <c r="C5" s="73" t="s">
        <v>60</v>
      </c>
      <c r="D5" s="73"/>
      <c r="E5" s="73"/>
      <c r="F5" s="73"/>
      <c r="G5" s="73"/>
      <c r="H5" s="73"/>
    </row>
    <row r="6" spans="2:8" x14ac:dyDescent="0.25">
      <c r="C6" s="70" t="s">
        <v>80</v>
      </c>
      <c r="D6" s="71"/>
      <c r="E6" s="71"/>
      <c r="F6" s="71"/>
      <c r="G6" s="71"/>
      <c r="H6" s="72"/>
    </row>
    <row r="7" spans="2:8" x14ac:dyDescent="0.25">
      <c r="B7" s="16" t="s">
        <v>59</v>
      </c>
      <c r="C7" s="16">
        <v>3</v>
      </c>
      <c r="D7" s="16">
        <v>5</v>
      </c>
      <c r="E7" s="16">
        <v>7</v>
      </c>
      <c r="F7" s="16">
        <v>10</v>
      </c>
      <c r="G7" s="36">
        <v>15</v>
      </c>
      <c r="H7" s="36">
        <v>20</v>
      </c>
    </row>
    <row r="8" spans="2:8" x14ac:dyDescent="0.25">
      <c r="B8" s="14">
        <v>1</v>
      </c>
      <c r="C8" s="22">
        <v>0.33329999999999999</v>
      </c>
      <c r="D8" s="22">
        <v>0.2</v>
      </c>
      <c r="E8" s="22">
        <v>0.1429</v>
      </c>
      <c r="F8" s="22">
        <v>0.1</v>
      </c>
      <c r="G8" s="22">
        <v>0.05</v>
      </c>
      <c r="H8" s="35">
        <v>3.7499999999999999E-2</v>
      </c>
    </row>
    <row r="9" spans="2:8" x14ac:dyDescent="0.25">
      <c r="B9" s="14">
        <f>+B8+1</f>
        <v>2</v>
      </c>
      <c r="C9" s="22">
        <v>0.44450000000000001</v>
      </c>
      <c r="D9" s="22">
        <v>0.32</v>
      </c>
      <c r="E9" s="22">
        <v>0.24490000000000001</v>
      </c>
      <c r="F9" s="22">
        <v>0.18</v>
      </c>
      <c r="G9" s="22">
        <v>9.5000000000000001E-2</v>
      </c>
      <c r="H9" s="35">
        <v>7.2190000000000004E-2</v>
      </c>
    </row>
    <row r="10" spans="2:8" x14ac:dyDescent="0.25">
      <c r="B10" s="14">
        <f t="shared" ref="B10:B28" si="0">+B9+1</f>
        <v>3</v>
      </c>
      <c r="C10" s="22">
        <v>0.14810000000000001</v>
      </c>
      <c r="D10" s="22">
        <v>0.192</v>
      </c>
      <c r="E10" s="22">
        <v>0.1749</v>
      </c>
      <c r="F10" s="22">
        <v>0.14399999999999999</v>
      </c>
      <c r="G10" s="22">
        <v>8.5500000000000007E-2</v>
      </c>
      <c r="H10" s="35">
        <v>6.6769999999999996E-2</v>
      </c>
    </row>
    <row r="11" spans="2:8" x14ac:dyDescent="0.25">
      <c r="B11" s="14">
        <f t="shared" si="0"/>
        <v>4</v>
      </c>
      <c r="C11" s="22">
        <v>7.4099999999999999E-2</v>
      </c>
      <c r="D11" s="22">
        <v>0.1152</v>
      </c>
      <c r="E11" s="22">
        <v>0.1249</v>
      </c>
      <c r="F11" s="22">
        <v>0.1152</v>
      </c>
      <c r="G11" s="34">
        <v>7.6999999999999999E-2</v>
      </c>
      <c r="H11" s="35">
        <v>6.1769999999999999E-2</v>
      </c>
    </row>
    <row r="12" spans="2:8" x14ac:dyDescent="0.25">
      <c r="B12" s="14">
        <f t="shared" si="0"/>
        <v>5</v>
      </c>
      <c r="C12" s="22"/>
      <c r="D12" s="22">
        <v>0.1152</v>
      </c>
      <c r="E12" s="22">
        <v>8.9300000000000004E-2</v>
      </c>
      <c r="F12" s="22">
        <v>9.2200000000000004E-2</v>
      </c>
      <c r="G12" s="34">
        <v>6.93E-2</v>
      </c>
      <c r="H12" s="35">
        <v>5.713E-2</v>
      </c>
    </row>
    <row r="13" spans="2:8" x14ac:dyDescent="0.25">
      <c r="B13" s="14">
        <f t="shared" si="0"/>
        <v>6</v>
      </c>
      <c r="C13" s="22"/>
      <c r="D13" s="22">
        <v>5.7599999999999998E-2</v>
      </c>
      <c r="E13" s="22">
        <v>8.9200000000000002E-2</v>
      </c>
      <c r="F13" s="22">
        <v>7.3700000000000002E-2</v>
      </c>
      <c r="G13" s="34">
        <v>6.2300000000000001E-2</v>
      </c>
      <c r="H13" s="35">
        <v>5.2850000000000001E-2</v>
      </c>
    </row>
    <row r="14" spans="2:8" x14ac:dyDescent="0.25">
      <c r="B14" s="14">
        <f t="shared" si="0"/>
        <v>7</v>
      </c>
      <c r="C14" s="22"/>
      <c r="D14" s="22"/>
      <c r="E14" s="22">
        <v>8.9300000000000004E-2</v>
      </c>
      <c r="F14" s="22">
        <v>6.5500000000000003E-2</v>
      </c>
      <c r="G14" s="34">
        <v>5.8999999999999997E-2</v>
      </c>
      <c r="H14" s="35">
        <v>4.888E-2</v>
      </c>
    </row>
    <row r="15" spans="2:8" x14ac:dyDescent="0.25">
      <c r="B15" s="14">
        <f t="shared" si="0"/>
        <v>8</v>
      </c>
      <c r="C15" s="22"/>
      <c r="D15" s="22"/>
      <c r="E15" s="22">
        <v>4.4600000000000001E-2</v>
      </c>
      <c r="F15" s="22">
        <v>6.5500000000000003E-2</v>
      </c>
      <c r="G15" s="34">
        <v>5.8999999999999997E-2</v>
      </c>
      <c r="H15" s="35">
        <v>4.5220000000000003E-2</v>
      </c>
    </row>
    <row r="16" spans="2:8" x14ac:dyDescent="0.25">
      <c r="B16" s="14">
        <f t="shared" si="0"/>
        <v>9</v>
      </c>
      <c r="C16" s="22"/>
      <c r="D16" s="22"/>
      <c r="E16" s="22"/>
      <c r="F16" s="22">
        <v>6.5600000000000006E-2</v>
      </c>
      <c r="G16" s="34">
        <v>5.91E-2</v>
      </c>
      <c r="H16" s="35">
        <v>4.462E-2</v>
      </c>
    </row>
    <row r="17" spans="1:8" x14ac:dyDescent="0.25">
      <c r="B17" s="14">
        <f t="shared" si="0"/>
        <v>10</v>
      </c>
      <c r="C17" s="22"/>
      <c r="D17" s="22"/>
      <c r="E17" s="22"/>
      <c r="F17" s="22">
        <v>6.5500000000000003E-2</v>
      </c>
      <c r="G17" s="34">
        <v>5.8999999999999997E-2</v>
      </c>
      <c r="H17" s="35">
        <v>4.4609999999999997E-2</v>
      </c>
    </row>
    <row r="18" spans="1:8" x14ac:dyDescent="0.25">
      <c r="B18" s="14">
        <f t="shared" si="0"/>
        <v>11</v>
      </c>
      <c r="C18" s="22"/>
      <c r="D18" s="22"/>
      <c r="E18" s="22"/>
      <c r="F18" s="22">
        <v>3.2800000000000003E-2</v>
      </c>
      <c r="G18" s="34">
        <v>5.91E-2</v>
      </c>
      <c r="H18" s="35">
        <v>4.462E-2</v>
      </c>
    </row>
    <row r="19" spans="1:8" x14ac:dyDescent="0.25">
      <c r="B19" s="14">
        <f t="shared" si="0"/>
        <v>12</v>
      </c>
      <c r="C19" s="22"/>
      <c r="D19" s="22"/>
      <c r="E19" s="22"/>
      <c r="F19" s="22"/>
      <c r="G19" s="34">
        <v>5.8999999999999997E-2</v>
      </c>
      <c r="H19" s="35">
        <v>4.4609999999999997E-2</v>
      </c>
    </row>
    <row r="20" spans="1:8" x14ac:dyDescent="0.25">
      <c r="B20" s="14">
        <f t="shared" si="0"/>
        <v>13</v>
      </c>
      <c r="C20" s="22"/>
      <c r="D20" s="22"/>
      <c r="E20" s="22"/>
      <c r="F20" s="22"/>
      <c r="G20" s="34">
        <v>5.91E-2</v>
      </c>
      <c r="H20" s="35">
        <v>4.462E-2</v>
      </c>
    </row>
    <row r="21" spans="1:8" x14ac:dyDescent="0.25">
      <c r="B21" s="14">
        <f t="shared" si="0"/>
        <v>14</v>
      </c>
      <c r="C21" s="22"/>
      <c r="D21" s="22"/>
      <c r="E21" s="22"/>
      <c r="F21" s="22"/>
      <c r="G21" s="34">
        <v>5.8999999999999997E-2</v>
      </c>
      <c r="H21" s="35">
        <v>4.4609999999999997E-2</v>
      </c>
    </row>
    <row r="22" spans="1:8" x14ac:dyDescent="0.25">
      <c r="B22" s="14">
        <f t="shared" si="0"/>
        <v>15</v>
      </c>
      <c r="C22" s="22"/>
      <c r="D22" s="22"/>
      <c r="E22" s="22"/>
      <c r="F22" s="22"/>
      <c r="G22" s="34">
        <v>5.91E-2</v>
      </c>
      <c r="H22" s="35">
        <v>4.462E-2</v>
      </c>
    </row>
    <row r="23" spans="1:8" x14ac:dyDescent="0.25">
      <c r="B23" s="14">
        <f t="shared" si="0"/>
        <v>16</v>
      </c>
      <c r="C23" s="22"/>
      <c r="D23" s="22"/>
      <c r="E23" s="22"/>
      <c r="F23" s="22"/>
      <c r="G23" s="34">
        <v>2.9499999999999998E-2</v>
      </c>
      <c r="H23" s="35">
        <v>4.4609999999999997E-2</v>
      </c>
    </row>
    <row r="24" spans="1:8" x14ac:dyDescent="0.25">
      <c r="B24" s="14">
        <f t="shared" si="0"/>
        <v>17</v>
      </c>
      <c r="C24" s="22"/>
      <c r="D24" s="22"/>
      <c r="E24" s="22"/>
      <c r="F24" s="22"/>
      <c r="G24" s="34"/>
      <c r="H24" s="35">
        <v>4.462E-2</v>
      </c>
    </row>
    <row r="25" spans="1:8" x14ac:dyDescent="0.25">
      <c r="B25" s="14">
        <f t="shared" si="0"/>
        <v>18</v>
      </c>
      <c r="C25" s="22"/>
      <c r="D25" s="22"/>
      <c r="E25" s="22"/>
      <c r="F25" s="22"/>
      <c r="G25" s="34"/>
      <c r="H25" s="35">
        <v>4.4609999999999997E-2</v>
      </c>
    </row>
    <row r="26" spans="1:8" x14ac:dyDescent="0.25">
      <c r="B26" s="14">
        <f t="shared" si="0"/>
        <v>19</v>
      </c>
      <c r="C26" s="22"/>
      <c r="D26" s="22"/>
      <c r="E26" s="22"/>
      <c r="F26" s="22"/>
      <c r="G26" s="34"/>
      <c r="H26" s="35">
        <v>4.462E-2</v>
      </c>
    </row>
    <row r="27" spans="1:8" x14ac:dyDescent="0.25">
      <c r="B27" s="14">
        <f t="shared" si="0"/>
        <v>20</v>
      </c>
      <c r="C27" s="22"/>
      <c r="D27" s="22"/>
      <c r="E27" s="22"/>
      <c r="F27" s="22"/>
      <c r="G27" s="34"/>
      <c r="H27" s="35">
        <v>4.4609999999999997E-2</v>
      </c>
    </row>
    <row r="28" spans="1:8" x14ac:dyDescent="0.25">
      <c r="B28" s="14">
        <f t="shared" si="0"/>
        <v>21</v>
      </c>
      <c r="C28" s="22"/>
      <c r="D28" s="22"/>
      <c r="E28" s="22"/>
      <c r="F28" s="22"/>
      <c r="G28" s="34"/>
      <c r="H28" s="35">
        <v>2.231E-2</v>
      </c>
    </row>
    <row r="29" spans="1:8" x14ac:dyDescent="0.25">
      <c r="B29" s="14"/>
    </row>
    <row r="30" spans="1:8" x14ac:dyDescent="0.25">
      <c r="A30" t="s">
        <v>61</v>
      </c>
      <c r="B30" s="14"/>
    </row>
    <row r="32" spans="1:8" x14ac:dyDescent="0.25">
      <c r="A32" t="s">
        <v>62</v>
      </c>
      <c r="G32" s="15">
        <f>+Results!G7</f>
        <v>65000000</v>
      </c>
    </row>
    <row r="33" spans="1:8" x14ac:dyDescent="0.25">
      <c r="G33" s="15"/>
    </row>
    <row r="34" spans="1:8" x14ac:dyDescent="0.25">
      <c r="A34" t="s">
        <v>63</v>
      </c>
      <c r="C34" s="15"/>
      <c r="G34" s="15">
        <f>+$G$32*G8</f>
        <v>3250000</v>
      </c>
      <c r="H34" s="15">
        <f>+G32-G34</f>
        <v>61750000</v>
      </c>
    </row>
    <row r="35" spans="1:8" x14ac:dyDescent="0.25">
      <c r="A35" t="s">
        <v>64</v>
      </c>
      <c r="C35" s="15"/>
      <c r="G35" s="15">
        <f t="shared" ref="G35:G49" si="1">+$G$32*G9</f>
        <v>6175000</v>
      </c>
      <c r="H35" s="15">
        <f>+H34-G35</f>
        <v>55575000</v>
      </c>
    </row>
    <row r="36" spans="1:8" x14ac:dyDescent="0.25">
      <c r="A36" t="s">
        <v>65</v>
      </c>
      <c r="C36" s="15"/>
      <c r="G36" s="15">
        <f t="shared" si="1"/>
        <v>5557500</v>
      </c>
      <c r="H36" s="15">
        <f>+H35-G36</f>
        <v>50017500</v>
      </c>
    </row>
    <row r="37" spans="1:8" x14ac:dyDescent="0.25">
      <c r="A37" t="s">
        <v>66</v>
      </c>
      <c r="C37" s="15"/>
      <c r="G37" s="15">
        <f t="shared" si="1"/>
        <v>5005000</v>
      </c>
      <c r="H37" s="15">
        <f>+H36-G37</f>
        <v>45012500</v>
      </c>
    </row>
    <row r="38" spans="1:8" x14ac:dyDescent="0.25">
      <c r="A38" t="s">
        <v>67</v>
      </c>
      <c r="C38" s="15"/>
      <c r="G38" s="15">
        <f t="shared" si="1"/>
        <v>4504500</v>
      </c>
      <c r="H38" s="15">
        <f>+H37-G38</f>
        <v>40508000</v>
      </c>
    </row>
    <row r="39" spans="1:8" x14ac:dyDescent="0.25">
      <c r="A39" t="s">
        <v>68</v>
      </c>
      <c r="C39" s="15"/>
      <c r="G39" s="15">
        <f t="shared" si="1"/>
        <v>4049500</v>
      </c>
      <c r="H39" s="15">
        <f>+H38-G39</f>
        <v>36458500</v>
      </c>
    </row>
    <row r="40" spans="1:8" x14ac:dyDescent="0.25">
      <c r="A40" t="s">
        <v>71</v>
      </c>
      <c r="C40" s="15"/>
      <c r="D40" s="26"/>
      <c r="G40" s="15">
        <f t="shared" si="1"/>
        <v>3835000</v>
      </c>
      <c r="H40" s="15">
        <f t="shared" ref="H40:H49" si="2">+H39-G40</f>
        <v>32623500</v>
      </c>
    </row>
    <row r="41" spans="1:8" x14ac:dyDescent="0.25">
      <c r="A41" t="s">
        <v>72</v>
      </c>
      <c r="C41" s="15"/>
      <c r="D41" s="15"/>
      <c r="G41" s="15">
        <f t="shared" si="1"/>
        <v>3835000</v>
      </c>
      <c r="H41" s="15">
        <f t="shared" si="2"/>
        <v>28788500</v>
      </c>
    </row>
    <row r="42" spans="1:8" x14ac:dyDescent="0.25">
      <c r="A42" t="s">
        <v>84</v>
      </c>
      <c r="C42" s="15"/>
      <c r="D42" s="15"/>
      <c r="E42" s="15"/>
      <c r="F42" s="15"/>
      <c r="G42" s="15">
        <f t="shared" si="1"/>
        <v>3841500</v>
      </c>
      <c r="H42" s="15">
        <f t="shared" si="2"/>
        <v>24947000</v>
      </c>
    </row>
    <row r="43" spans="1:8" x14ac:dyDescent="0.25">
      <c r="A43" t="s">
        <v>85</v>
      </c>
      <c r="C43" s="15"/>
      <c r="D43" s="15"/>
      <c r="E43" s="15"/>
      <c r="F43" s="15"/>
      <c r="G43" s="15">
        <f t="shared" si="1"/>
        <v>3835000</v>
      </c>
      <c r="H43" s="15">
        <f t="shared" si="2"/>
        <v>21112000</v>
      </c>
    </row>
    <row r="44" spans="1:8" x14ac:dyDescent="0.25">
      <c r="A44" t="s">
        <v>86</v>
      </c>
      <c r="C44" s="15"/>
      <c r="D44" s="15"/>
      <c r="E44" s="15"/>
      <c r="F44" s="15"/>
      <c r="G44" s="15">
        <f t="shared" si="1"/>
        <v>3841500</v>
      </c>
      <c r="H44" s="15">
        <f t="shared" si="2"/>
        <v>17270500</v>
      </c>
    </row>
    <row r="45" spans="1:8" x14ac:dyDescent="0.25">
      <c r="A45" t="s">
        <v>87</v>
      </c>
      <c r="C45" s="15"/>
      <c r="D45" s="15"/>
      <c r="E45" s="15"/>
      <c r="F45" s="15"/>
      <c r="G45" s="15">
        <f t="shared" si="1"/>
        <v>3835000</v>
      </c>
      <c r="H45" s="15">
        <f t="shared" si="2"/>
        <v>13435500</v>
      </c>
    </row>
    <row r="46" spans="1:8" x14ac:dyDescent="0.25">
      <c r="A46" t="s">
        <v>88</v>
      </c>
      <c r="G46" s="15">
        <f t="shared" si="1"/>
        <v>3841500</v>
      </c>
      <c r="H46" s="15">
        <f t="shared" si="2"/>
        <v>9594000</v>
      </c>
    </row>
    <row r="47" spans="1:8" x14ac:dyDescent="0.25">
      <c r="A47" t="s">
        <v>89</v>
      </c>
      <c r="G47" s="15">
        <f t="shared" si="1"/>
        <v>3835000</v>
      </c>
      <c r="H47" s="15">
        <f t="shared" si="2"/>
        <v>5759000</v>
      </c>
    </row>
    <row r="48" spans="1:8" x14ac:dyDescent="0.25">
      <c r="A48" t="s">
        <v>90</v>
      </c>
      <c r="G48" s="15">
        <f t="shared" si="1"/>
        <v>3841500</v>
      </c>
      <c r="H48" s="15">
        <f t="shared" si="2"/>
        <v>1917500</v>
      </c>
    </row>
    <row r="49" spans="1:8" x14ac:dyDescent="0.25">
      <c r="A49" t="s">
        <v>91</v>
      </c>
      <c r="G49" s="15">
        <f t="shared" si="1"/>
        <v>1917500</v>
      </c>
      <c r="H49" s="15">
        <f t="shared" si="2"/>
        <v>0</v>
      </c>
    </row>
    <row r="50" spans="1:8" x14ac:dyDescent="0.25">
      <c r="G50" s="15"/>
    </row>
    <row r="51" spans="1:8" x14ac:dyDescent="0.25">
      <c r="G51" s="15"/>
    </row>
    <row r="52" spans="1:8" x14ac:dyDescent="0.25">
      <c r="G52" s="15"/>
    </row>
    <row r="53" spans="1:8" x14ac:dyDescent="0.25">
      <c r="G53" s="15"/>
    </row>
    <row r="54" spans="1:8" x14ac:dyDescent="0.25">
      <c r="G54" s="15"/>
    </row>
  </sheetData>
  <mergeCells count="2">
    <mergeCell ref="C6:H6"/>
    <mergeCell ref="C5:H5"/>
  </mergeCells>
  <phoneticPr fontId="0" type="noConversion"/>
  <pageMargins left="0.75" right="0.75" top="1" bottom="1" header="0.5" footer="0.5"/>
  <pageSetup orientation="portrait" r:id="rId1"/>
  <headerFooter alignWithMargins="0">
    <oddFooter>&amp;L&amp;9&amp;Z&amp;F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Assumptions</vt:lpstr>
      <vt:lpstr>Results</vt:lpstr>
      <vt:lpstr>Fuel Usage</vt:lpstr>
      <vt:lpstr>MACRS Table</vt:lpstr>
      <vt:lpstr>Assumptions!Print_Area</vt:lpstr>
      <vt:lpstr>'Fuel Usage'!Print_Area</vt:lpstr>
      <vt:lpstr>Results!Print_Area</vt:lpstr>
    </vt:vector>
  </TitlesOfParts>
  <Company>Black Hills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Kilpatrick</dc:creator>
  <cp:lastModifiedBy>Lashley, Joy  (PUC)</cp:lastModifiedBy>
  <cp:lastPrinted>2013-10-11T17:21:36Z</cp:lastPrinted>
  <dcterms:created xsi:type="dcterms:W3CDTF">2010-07-13T21:29:32Z</dcterms:created>
  <dcterms:modified xsi:type="dcterms:W3CDTF">2016-02-23T16:18:00Z</dcterms:modified>
</cp:coreProperties>
</file>